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showInkAnnotation="0"/>
  <mc:AlternateContent xmlns:mc="http://schemas.openxmlformats.org/markup-compatibility/2006">
    <mc:Choice Requires="x15">
      <x15ac:absPath xmlns:x15ac="http://schemas.microsoft.com/office/spreadsheetml/2010/11/ac" url="/Volumes/GoogleDrive/My Drive/08. CERC-BEE Policy and Markets/Key Project Technical Materials - New/Benchmarking/02. BETTER Tool/22. GHG Emission Factors/05. Final GHG Emissions Factors_11.18.2020/"/>
    </mc:Choice>
  </mc:AlternateContent>
  <xr:revisionPtr revIDLastSave="0" documentId="13_ncr:1_{96F86A54-17F6-F142-9A41-CEFF487A562B}" xr6:coauthVersionLast="46" xr6:coauthVersionMax="46" xr10:uidLastSave="{00000000-0000-0000-0000-000000000000}"/>
  <bookViews>
    <workbookView xWindow="3280" yWindow="460" windowWidth="35120" windowHeight="19840" tabRatio="500" xr2:uid="{00000000-000D-0000-FFFF-FFFF00000000}"/>
  </bookViews>
  <sheets>
    <sheet name="Introduction" sheetId="9" r:id="rId1"/>
    <sheet name="1. Electricity" sheetId="7" r:id="rId2"/>
    <sheet name="2. Electricity Source" sheetId="5" r:id="rId3"/>
    <sheet name="3. Fossil" sheetId="6" r:id="rId4"/>
    <sheet name="4. Fossil Source" sheetId="8" r:id="rId5"/>
    <sheet name="Fuel Conversion Factors" sheetId="4" r:id="rId6"/>
  </sheets>
  <externalReferences>
    <externalReference r:id="rId7"/>
  </externalReferences>
  <definedNames>
    <definedName name="_ftn4" localSheetId="0">Introduction!$A$70</definedName>
    <definedName name="_ftnref1" localSheetId="0">Introduction!$A$40</definedName>
    <definedName name="_ftnref2" localSheetId="0">Introduction!$A$50</definedName>
    <definedName name="_ftnref3" localSheetId="0">Introduction!$A$51</definedName>
    <definedName name="all_1st_spaces">[1]Validation!$A$3:$A$18</definedName>
    <definedName name="currency">[1]Validation!$J$3:$J$47</definedName>
    <definedName name="energy_types">[1]Validation!$N$3:$N$23</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unit_system">[1]Validation!$P$3:$P$4</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N86" i="8" l="1"/>
  <c r="N87" i="8"/>
  <c r="N88" i="8"/>
  <c r="N89" i="8"/>
  <c r="N90" i="8"/>
  <c r="N91" i="8"/>
  <c r="N92" i="8"/>
  <c r="N93" i="8"/>
  <c r="N94" i="8"/>
  <c r="N95" i="8"/>
  <c r="N96" i="8"/>
  <c r="N97" i="8"/>
  <c r="N98" i="8"/>
  <c r="N99" i="8"/>
  <c r="N100" i="8"/>
  <c r="N101" i="8"/>
  <c r="N102" i="8"/>
  <c r="N85" i="8"/>
  <c r="K73" i="8"/>
  <c r="L73" i="8"/>
  <c r="M73" i="8"/>
  <c r="N73" i="8"/>
  <c r="K74" i="8"/>
  <c r="L74" i="8"/>
  <c r="M74" i="8"/>
  <c r="N74" i="8"/>
  <c r="K75" i="8"/>
  <c r="L75" i="8"/>
  <c r="N75" i="8" s="1"/>
  <c r="M75" i="8"/>
  <c r="K76" i="8"/>
  <c r="L76" i="8"/>
  <c r="M76" i="8"/>
  <c r="N76" i="8"/>
  <c r="M72" i="8"/>
  <c r="L72" i="8"/>
  <c r="K72" i="8"/>
  <c r="N72" i="8" s="1"/>
  <c r="M71" i="8"/>
  <c r="L71" i="8"/>
  <c r="K71" i="8"/>
  <c r="N71" i="8" s="1"/>
  <c r="M69" i="8"/>
  <c r="L69" i="8"/>
  <c r="K69" i="8"/>
  <c r="N69" i="8" s="1"/>
  <c r="M68" i="8"/>
  <c r="L68" i="8"/>
  <c r="K68" i="8"/>
  <c r="N68" i="8" s="1"/>
  <c r="K60" i="8"/>
  <c r="N60" i="8" s="1"/>
  <c r="L60" i="8"/>
  <c r="M60" i="8"/>
  <c r="K61" i="8"/>
  <c r="L61" i="8"/>
  <c r="M61" i="8"/>
  <c r="N61" i="8"/>
  <c r="K62" i="8"/>
  <c r="N62" i="8" s="1"/>
  <c r="L62" i="8"/>
  <c r="M62" i="8"/>
  <c r="K63" i="8"/>
  <c r="L63" i="8"/>
  <c r="M63" i="8"/>
  <c r="N63" i="8"/>
  <c r="K64" i="8"/>
  <c r="N64" i="8" s="1"/>
  <c r="L64" i="8"/>
  <c r="M64" i="8"/>
  <c r="K65" i="8"/>
  <c r="L65" i="8"/>
  <c r="M65" i="8"/>
  <c r="N65" i="8"/>
  <c r="K66" i="8"/>
  <c r="N66" i="8" s="1"/>
  <c r="L66" i="8"/>
  <c r="M66" i="8"/>
  <c r="N59" i="8"/>
  <c r="M59" i="8"/>
  <c r="L59" i="8"/>
  <c r="K59" i="8"/>
  <c r="K99" i="8"/>
  <c r="L99" i="8"/>
  <c r="M99" i="8"/>
  <c r="K100" i="8"/>
  <c r="L100" i="8"/>
  <c r="M100" i="8"/>
  <c r="K101" i="8"/>
  <c r="L101" i="8"/>
  <c r="M101" i="8"/>
  <c r="K102" i="8"/>
  <c r="L102" i="8"/>
  <c r="M102" i="8"/>
  <c r="M98" i="8"/>
  <c r="L98" i="8"/>
  <c r="K98" i="8"/>
  <c r="M97" i="8"/>
  <c r="L97" i="8"/>
  <c r="K97" i="8"/>
  <c r="M95" i="8"/>
  <c r="L95" i="8"/>
  <c r="K95" i="8"/>
  <c r="M94" i="8"/>
  <c r="L94" i="8"/>
  <c r="K94" i="8"/>
  <c r="K86" i="8"/>
  <c r="L86" i="8"/>
  <c r="M86" i="8"/>
  <c r="K87" i="8"/>
  <c r="L87" i="8"/>
  <c r="M87" i="8"/>
  <c r="K88" i="8"/>
  <c r="L88" i="8"/>
  <c r="M88" i="8"/>
  <c r="K89" i="8"/>
  <c r="L89" i="8"/>
  <c r="M89" i="8"/>
  <c r="K90" i="8"/>
  <c r="L90" i="8"/>
  <c r="M90" i="8"/>
  <c r="K91" i="8"/>
  <c r="L91" i="8"/>
  <c r="M91" i="8"/>
  <c r="K92" i="8"/>
  <c r="L92" i="8"/>
  <c r="M92" i="8"/>
  <c r="L85" i="8"/>
  <c r="M85" i="8"/>
  <c r="K85" i="8"/>
  <c r="AC13" i="8"/>
  <c r="AB13" i="8"/>
  <c r="AA13" i="8"/>
  <c r="AC12" i="8"/>
  <c r="AB12" i="8"/>
  <c r="AA12" i="8"/>
  <c r="AA18" i="8"/>
  <c r="AB18" i="8"/>
  <c r="AC18" i="8"/>
  <c r="AA19" i="8"/>
  <c r="AB19" i="8"/>
  <c r="AC19" i="8"/>
  <c r="AA20" i="8"/>
  <c r="AB20" i="8"/>
  <c r="AC20" i="8"/>
  <c r="AC17" i="8"/>
  <c r="AB17" i="8"/>
  <c r="AA17" i="8"/>
  <c r="AC16" i="8"/>
  <c r="AB16" i="8"/>
  <c r="AA16" i="8"/>
  <c r="AC15" i="8"/>
  <c r="AB15" i="8"/>
  <c r="AA15" i="8"/>
  <c r="AB8" i="8"/>
  <c r="AC8" i="8"/>
  <c r="AB9" i="8"/>
  <c r="AC9" i="8"/>
  <c r="AB10" i="8"/>
  <c r="AC10" i="8"/>
  <c r="AA9" i="8"/>
  <c r="AA10" i="8"/>
  <c r="AA8" i="8"/>
  <c r="AB7" i="8"/>
  <c r="AC7" i="8"/>
  <c r="AB3" i="8"/>
  <c r="AC3" i="8"/>
  <c r="AB4" i="8"/>
  <c r="AC4" i="8"/>
  <c r="AB5" i="8"/>
  <c r="AC5" i="8"/>
  <c r="AB6" i="8"/>
  <c r="AC6" i="8"/>
  <c r="AA4" i="8"/>
  <c r="AA5" i="8"/>
  <c r="AA6" i="8"/>
  <c r="AA7" i="8"/>
  <c r="AA3" i="8"/>
  <c r="K33" i="8" l="1"/>
  <c r="K20" i="6" l="1"/>
  <c r="L20" i="6"/>
  <c r="M20" i="6"/>
  <c r="N20" i="6"/>
  <c r="K21" i="6"/>
  <c r="L21" i="6"/>
  <c r="M21" i="6"/>
  <c r="N21" i="6"/>
  <c r="K22" i="6"/>
  <c r="L22" i="6"/>
  <c r="M22" i="6"/>
  <c r="N22" i="6"/>
  <c r="K23" i="6"/>
  <c r="L23" i="6"/>
  <c r="M23" i="6"/>
  <c r="N23" i="6"/>
  <c r="N19" i="6"/>
  <c r="M19" i="6"/>
  <c r="L19" i="6"/>
  <c r="K19" i="6"/>
  <c r="N18" i="6"/>
  <c r="M18" i="6"/>
  <c r="L18" i="6"/>
  <c r="K18" i="6"/>
  <c r="N16" i="6"/>
  <c r="M16" i="6"/>
  <c r="L16" i="6"/>
  <c r="K16" i="6"/>
  <c r="N15" i="6"/>
  <c r="M15" i="6"/>
  <c r="L15" i="6"/>
  <c r="K15" i="6"/>
  <c r="N13" i="6"/>
  <c r="M13" i="6"/>
  <c r="L13" i="6"/>
  <c r="K13" i="6"/>
  <c r="N12" i="6"/>
  <c r="M12" i="6"/>
  <c r="L12" i="6"/>
  <c r="K12" i="6"/>
  <c r="N11" i="6"/>
  <c r="M11" i="6"/>
  <c r="L11" i="6"/>
  <c r="K11" i="6"/>
  <c r="N9" i="6"/>
  <c r="M9" i="6"/>
  <c r="L9" i="6"/>
  <c r="K9" i="6"/>
  <c r="N8" i="6"/>
  <c r="M8" i="6"/>
  <c r="L8" i="6"/>
  <c r="K8" i="6"/>
  <c r="N7" i="6"/>
  <c r="M7" i="6"/>
  <c r="L7" i="6"/>
  <c r="K7" i="6"/>
  <c r="L6" i="6"/>
  <c r="M6" i="6"/>
  <c r="N6" i="6"/>
  <c r="K6" i="6"/>
  <c r="N122" i="5" l="1"/>
  <c r="N116" i="5"/>
  <c r="Q117" i="5"/>
  <c r="Q116" i="5"/>
  <c r="C103" i="5" s="1"/>
  <c r="P118" i="5"/>
  <c r="Q118" i="5" s="1"/>
  <c r="E103" i="5" s="1"/>
  <c r="D82" i="7" s="1"/>
  <c r="N140" i="5"/>
  <c r="D109" i="5" s="1"/>
  <c r="C88" i="7" s="1"/>
  <c r="Q140" i="5"/>
  <c r="C109" i="5" s="1"/>
  <c r="Q142" i="5"/>
  <c r="Q141" i="5"/>
  <c r="N128" i="5"/>
  <c r="N134" i="5"/>
  <c r="H140" i="5"/>
  <c r="K141" i="5"/>
  <c r="D100" i="5" s="1"/>
  <c r="C79" i="7" s="1"/>
  <c r="K142" i="5"/>
  <c r="E100" i="5" s="1"/>
  <c r="D79" i="7" s="1"/>
  <c r="K140" i="5"/>
  <c r="C100" i="5" s="1"/>
  <c r="B79" i="7" s="1"/>
  <c r="H146" i="5"/>
  <c r="E101" i="5" s="1"/>
  <c r="D103" i="5" l="1"/>
  <c r="C82" i="7" s="1"/>
  <c r="C101" i="5"/>
  <c r="D101" i="5"/>
  <c r="E109" i="5"/>
  <c r="D88" i="7" s="1"/>
  <c r="F109" i="5"/>
  <c r="E88" i="7" s="1"/>
  <c r="B88" i="7"/>
  <c r="B82" i="7"/>
  <c r="F103" i="5"/>
  <c r="E82" i="7" s="1"/>
  <c r="H116" i="5"/>
  <c r="F101" i="5" l="1"/>
  <c r="A83" i="7"/>
  <c r="A84" i="7"/>
  <c r="A85" i="7"/>
  <c r="A86" i="7"/>
  <c r="A87" i="7"/>
  <c r="A88" i="7"/>
  <c r="A89" i="7"/>
  <c r="E89" i="7"/>
  <c r="A90" i="7"/>
  <c r="E90" i="7"/>
  <c r="A73" i="7"/>
  <c r="A74" i="7"/>
  <c r="A75" i="7"/>
  <c r="A76" i="7"/>
  <c r="A77" i="7"/>
  <c r="A78" i="7"/>
  <c r="A79" i="7"/>
  <c r="A80" i="7"/>
  <c r="A81" i="7"/>
  <c r="A82" i="7"/>
  <c r="A72" i="7"/>
  <c r="D80" i="7"/>
  <c r="C80" i="7"/>
  <c r="H134" i="5" l="1"/>
  <c r="H128" i="5"/>
  <c r="H122" i="5"/>
  <c r="E106" i="5" l="1"/>
  <c r="D85" i="7" s="1"/>
  <c r="C106" i="5"/>
  <c r="D106" i="5"/>
  <c r="C85" i="7" s="1"/>
  <c r="F20" i="8"/>
  <c r="F106" i="5" l="1"/>
  <c r="B85" i="7"/>
  <c r="E85" i="7"/>
  <c r="F102" i="5"/>
  <c r="E81" i="7" s="1"/>
  <c r="K128" i="5"/>
  <c r="C99" i="5" s="1"/>
  <c r="B78" i="7" s="1"/>
  <c r="C98" i="5"/>
  <c r="B77" i="7" s="1"/>
  <c r="Q124" i="5"/>
  <c r="E104" i="5" s="1"/>
  <c r="D83" i="7" s="1"/>
  <c r="Q123" i="5"/>
  <c r="D105" i="5" s="1"/>
  <c r="C84" i="7" s="1"/>
  <c r="Q122" i="5"/>
  <c r="C104" i="5" s="1"/>
  <c r="B83" i="7" s="1"/>
  <c r="K136" i="5"/>
  <c r="E107" i="5" s="1"/>
  <c r="D86" i="7" s="1"/>
  <c r="K135" i="5"/>
  <c r="D107" i="5" s="1"/>
  <c r="C86" i="7" s="1"/>
  <c r="K134" i="5"/>
  <c r="C107" i="5" s="1"/>
  <c r="B86" i="7" s="1"/>
  <c r="K130" i="5"/>
  <c r="E99" i="5" s="1"/>
  <c r="D78" i="7" s="1"/>
  <c r="K129" i="5"/>
  <c r="D99" i="5" s="1"/>
  <c r="C78" i="7" s="1"/>
  <c r="P135" i="5"/>
  <c r="Q135" i="5" s="1"/>
  <c r="D108" i="5" s="1"/>
  <c r="C87" i="7" s="1"/>
  <c r="P136" i="5"/>
  <c r="Q136" i="5" s="1"/>
  <c r="E108" i="5" s="1"/>
  <c r="D87" i="7" s="1"/>
  <c r="P134" i="5"/>
  <c r="Q134" i="5" s="1"/>
  <c r="C108" i="5" s="1"/>
  <c r="B87" i="7" s="1"/>
  <c r="Q128" i="5"/>
  <c r="C105" i="5" s="1"/>
  <c r="B84" i="7" s="1"/>
  <c r="Q130" i="5"/>
  <c r="Q129" i="5"/>
  <c r="B80" i="7"/>
  <c r="F100" i="5" l="1"/>
  <c r="E79" i="7" s="1"/>
  <c r="E80" i="7"/>
  <c r="F98" i="5"/>
  <c r="E77" i="7" s="1"/>
  <c r="F108" i="5"/>
  <c r="E87" i="7" s="1"/>
  <c r="D104" i="5"/>
  <c r="C83" i="7" s="1"/>
  <c r="F107" i="5"/>
  <c r="E86" i="7" s="1"/>
  <c r="F99" i="5"/>
  <c r="E78" i="7" s="1"/>
  <c r="E105" i="5"/>
  <c r="J99" i="5"/>
  <c r="J100" i="5"/>
  <c r="J101" i="5"/>
  <c r="J102" i="5"/>
  <c r="J103" i="5"/>
  <c r="J104" i="5"/>
  <c r="J105" i="5"/>
  <c r="J106" i="5"/>
  <c r="J107" i="5"/>
  <c r="J108" i="5"/>
  <c r="J109" i="5"/>
  <c r="J110" i="5"/>
  <c r="J111" i="5"/>
  <c r="J98" i="5"/>
  <c r="B140" i="5"/>
  <c r="E97" i="5" s="1"/>
  <c r="D76" i="7" s="1"/>
  <c r="D136" i="5"/>
  <c r="D135" i="5"/>
  <c r="D134" i="5"/>
  <c r="B134" i="5"/>
  <c r="B128" i="5"/>
  <c r="E95" i="5" s="1"/>
  <c r="D74" i="7" s="1"/>
  <c r="D124" i="5"/>
  <c r="D123" i="5"/>
  <c r="B122" i="5"/>
  <c r="C94" i="5" s="1"/>
  <c r="B73" i="7" s="1"/>
  <c r="B116" i="5"/>
  <c r="E93" i="5" s="1"/>
  <c r="D72" i="7" s="1"/>
  <c r="Q67" i="5"/>
  <c r="U67" i="5" s="1"/>
  <c r="D56" i="7" s="1"/>
  <c r="P67" i="5"/>
  <c r="T67" i="5" s="1"/>
  <c r="B56" i="7" s="1"/>
  <c r="P82" i="5"/>
  <c r="T82" i="5" s="1"/>
  <c r="B70" i="7" s="1"/>
  <c r="P81" i="5"/>
  <c r="T81" i="5" s="1"/>
  <c r="B69" i="7" s="1"/>
  <c r="Q82" i="5"/>
  <c r="U82" i="5" s="1"/>
  <c r="D70" i="7" s="1"/>
  <c r="O82" i="5"/>
  <c r="S82" i="5" s="1"/>
  <c r="C70" i="7" s="1"/>
  <c r="O67" i="5"/>
  <c r="S67" i="5" s="1"/>
  <c r="C56" i="7" s="1"/>
  <c r="T39" i="5"/>
  <c r="U39" i="5"/>
  <c r="S39" i="5"/>
  <c r="O84" i="5"/>
  <c r="S84" i="5" s="1"/>
  <c r="P84" i="5"/>
  <c r="T84" i="5" s="1"/>
  <c r="Q84" i="5"/>
  <c r="U84" i="5" s="1"/>
  <c r="Q83" i="5"/>
  <c r="U83" i="5" s="1"/>
  <c r="D71" i="7" s="1"/>
  <c r="P83" i="5"/>
  <c r="T83" i="5" s="1"/>
  <c r="B71" i="7" s="1"/>
  <c r="O83" i="5"/>
  <c r="S83" i="5" s="1"/>
  <c r="C71" i="7" s="1"/>
  <c r="O70" i="5"/>
  <c r="S70" i="5" s="1"/>
  <c r="C58" i="7" s="1"/>
  <c r="P70" i="5"/>
  <c r="T70" i="5" s="1"/>
  <c r="B58" i="7" s="1"/>
  <c r="Q70" i="5"/>
  <c r="U70" i="5" s="1"/>
  <c r="D58" i="7" s="1"/>
  <c r="O71" i="5"/>
  <c r="S71" i="5" s="1"/>
  <c r="C59" i="7" s="1"/>
  <c r="P71" i="5"/>
  <c r="T71" i="5" s="1"/>
  <c r="B59" i="7" s="1"/>
  <c r="Q71" i="5"/>
  <c r="U71" i="5" s="1"/>
  <c r="D59" i="7" s="1"/>
  <c r="O72" i="5"/>
  <c r="S72" i="5" s="1"/>
  <c r="C60" i="7" s="1"/>
  <c r="P72" i="5"/>
  <c r="T72" i="5" s="1"/>
  <c r="B60" i="7" s="1"/>
  <c r="Q72" i="5"/>
  <c r="U72" i="5" s="1"/>
  <c r="D60" i="7" s="1"/>
  <c r="O73" i="5"/>
  <c r="S73" i="5" s="1"/>
  <c r="C61" i="7" s="1"/>
  <c r="P73" i="5"/>
  <c r="T73" i="5" s="1"/>
  <c r="B61" i="7" s="1"/>
  <c r="Q73" i="5"/>
  <c r="U73" i="5" s="1"/>
  <c r="D61" i="7" s="1"/>
  <c r="O74" i="5"/>
  <c r="S74" i="5" s="1"/>
  <c r="C62" i="7" s="1"/>
  <c r="P74" i="5"/>
  <c r="T74" i="5" s="1"/>
  <c r="B62" i="7" s="1"/>
  <c r="Q74" i="5"/>
  <c r="U74" i="5" s="1"/>
  <c r="D62" i="7" s="1"/>
  <c r="O75" i="5"/>
  <c r="S75" i="5" s="1"/>
  <c r="C63" i="7" s="1"/>
  <c r="P75" i="5"/>
  <c r="T75" i="5" s="1"/>
  <c r="B63" i="7" s="1"/>
  <c r="Q75" i="5"/>
  <c r="U75" i="5" s="1"/>
  <c r="D63" i="7" s="1"/>
  <c r="O76" i="5"/>
  <c r="S76" i="5" s="1"/>
  <c r="C64" i="7" s="1"/>
  <c r="P76" i="5"/>
  <c r="T76" i="5" s="1"/>
  <c r="B64" i="7" s="1"/>
  <c r="Q76" i="5"/>
  <c r="U76" i="5" s="1"/>
  <c r="D64" i="7" s="1"/>
  <c r="O77" i="5"/>
  <c r="S77" i="5" s="1"/>
  <c r="C65" i="7" s="1"/>
  <c r="P77" i="5"/>
  <c r="T77" i="5" s="1"/>
  <c r="B65" i="7" s="1"/>
  <c r="Q77" i="5"/>
  <c r="U77" i="5" s="1"/>
  <c r="D65" i="7" s="1"/>
  <c r="O78" i="5"/>
  <c r="S78" i="5" s="1"/>
  <c r="C66" i="7" s="1"/>
  <c r="P78" i="5"/>
  <c r="T78" i="5" s="1"/>
  <c r="B66" i="7" s="1"/>
  <c r="Q78" i="5"/>
  <c r="U78" i="5" s="1"/>
  <c r="D66" i="7" s="1"/>
  <c r="O79" i="5"/>
  <c r="S79" i="5" s="1"/>
  <c r="C67" i="7" s="1"/>
  <c r="P79" i="5"/>
  <c r="T79" i="5" s="1"/>
  <c r="B67" i="7" s="1"/>
  <c r="Q79" i="5"/>
  <c r="U79" i="5" s="1"/>
  <c r="D67" i="7" s="1"/>
  <c r="O80" i="5"/>
  <c r="S80" i="5" s="1"/>
  <c r="C68" i="7" s="1"/>
  <c r="P80" i="5"/>
  <c r="T80" i="5" s="1"/>
  <c r="B68" i="7" s="1"/>
  <c r="Q80" i="5"/>
  <c r="U80" i="5" s="1"/>
  <c r="D68" i="7" s="1"/>
  <c r="O81" i="5"/>
  <c r="S81" i="5" s="1"/>
  <c r="C69" i="7" s="1"/>
  <c r="Q81" i="5"/>
  <c r="U81" i="5" s="1"/>
  <c r="D69" i="7" s="1"/>
  <c r="Q69" i="5"/>
  <c r="U69" i="5" s="1"/>
  <c r="D57" i="7" s="1"/>
  <c r="P69" i="5"/>
  <c r="T69" i="5" s="1"/>
  <c r="B57" i="7" s="1"/>
  <c r="O69" i="5"/>
  <c r="S69" i="5" s="1"/>
  <c r="C57" i="7" s="1"/>
  <c r="Q66" i="5"/>
  <c r="U66" i="5" s="1"/>
  <c r="D55" i="7" s="1"/>
  <c r="P66" i="5"/>
  <c r="T66" i="5" s="1"/>
  <c r="B55" i="7" s="1"/>
  <c r="O66" i="5"/>
  <c r="S66" i="5" s="1"/>
  <c r="C55" i="7" s="1"/>
  <c r="Q65" i="5"/>
  <c r="U65" i="5" s="1"/>
  <c r="D54" i="7" s="1"/>
  <c r="P65" i="5"/>
  <c r="T65" i="5" s="1"/>
  <c r="B54" i="7" s="1"/>
  <c r="O65" i="5"/>
  <c r="S65" i="5" s="1"/>
  <c r="C54" i="7" s="1"/>
  <c r="O54" i="5"/>
  <c r="S54" i="5" s="1"/>
  <c r="C44" i="7" s="1"/>
  <c r="P54" i="5"/>
  <c r="T54" i="5" s="1"/>
  <c r="B44" i="7" s="1"/>
  <c r="Q54" i="5"/>
  <c r="U54" i="5" s="1"/>
  <c r="D44" i="7" s="1"/>
  <c r="O55" i="5"/>
  <c r="S55" i="5" s="1"/>
  <c r="C45" i="7" s="1"/>
  <c r="P55" i="5"/>
  <c r="T55" i="5" s="1"/>
  <c r="B45" i="7" s="1"/>
  <c r="Q55" i="5"/>
  <c r="U55" i="5" s="1"/>
  <c r="D45" i="7" s="1"/>
  <c r="O56" i="5"/>
  <c r="S56" i="5" s="1"/>
  <c r="C46" i="7" s="1"/>
  <c r="P56" i="5"/>
  <c r="T56" i="5" s="1"/>
  <c r="B46" i="7" s="1"/>
  <c r="Q56" i="5"/>
  <c r="U56" i="5" s="1"/>
  <c r="D46" i="7" s="1"/>
  <c r="O57" i="5"/>
  <c r="S57" i="5" s="1"/>
  <c r="C47" i="7" s="1"/>
  <c r="P57" i="5"/>
  <c r="T57" i="5" s="1"/>
  <c r="B47" i="7" s="1"/>
  <c r="Q57" i="5"/>
  <c r="U57" i="5" s="1"/>
  <c r="D47" i="7" s="1"/>
  <c r="O58" i="5"/>
  <c r="S58" i="5" s="1"/>
  <c r="C48" i="7" s="1"/>
  <c r="P58" i="5"/>
  <c r="T58" i="5" s="1"/>
  <c r="B48" i="7" s="1"/>
  <c r="Q58" i="5"/>
  <c r="U58" i="5" s="1"/>
  <c r="D48" i="7" s="1"/>
  <c r="O59" i="5"/>
  <c r="S59" i="5" s="1"/>
  <c r="C49" i="7" s="1"/>
  <c r="P59" i="5"/>
  <c r="T59" i="5" s="1"/>
  <c r="B49" i="7" s="1"/>
  <c r="Q59" i="5"/>
  <c r="U59" i="5" s="1"/>
  <c r="D49" i="7" s="1"/>
  <c r="O60" i="5"/>
  <c r="S60" i="5" s="1"/>
  <c r="C50" i="7" s="1"/>
  <c r="P60" i="5"/>
  <c r="T60" i="5" s="1"/>
  <c r="B50" i="7" s="1"/>
  <c r="Q60" i="5"/>
  <c r="U60" i="5" s="1"/>
  <c r="D50" i="7" s="1"/>
  <c r="O61" i="5"/>
  <c r="S61" i="5" s="1"/>
  <c r="C51" i="7" s="1"/>
  <c r="P61" i="5"/>
  <c r="T61" i="5" s="1"/>
  <c r="B51" i="7" s="1"/>
  <c r="Q61" i="5"/>
  <c r="U61" i="5" s="1"/>
  <c r="D51" i="7" s="1"/>
  <c r="O62" i="5"/>
  <c r="S62" i="5" s="1"/>
  <c r="C52" i="7" s="1"/>
  <c r="P62" i="5"/>
  <c r="T62" i="5" s="1"/>
  <c r="B52" i="7" s="1"/>
  <c r="Q62" i="5"/>
  <c r="U62" i="5" s="1"/>
  <c r="D52" i="7" s="1"/>
  <c r="O63" i="5"/>
  <c r="S63" i="5" s="1"/>
  <c r="C53" i="7" s="1"/>
  <c r="P63" i="5"/>
  <c r="T63" i="5" s="1"/>
  <c r="B53" i="7" s="1"/>
  <c r="Q63" i="5"/>
  <c r="U63" i="5" s="1"/>
  <c r="D53" i="7" s="1"/>
  <c r="Q53" i="5"/>
  <c r="U53" i="5" s="1"/>
  <c r="D43" i="7" s="1"/>
  <c r="P53" i="5"/>
  <c r="T53" i="5" s="1"/>
  <c r="B43" i="7" s="1"/>
  <c r="O53" i="5"/>
  <c r="S53" i="5" s="1"/>
  <c r="C43" i="7" s="1"/>
  <c r="O41" i="5"/>
  <c r="S41" i="5" s="1"/>
  <c r="C33" i="7" s="1"/>
  <c r="P41" i="5"/>
  <c r="T41" i="5" s="1"/>
  <c r="B33" i="7" s="1"/>
  <c r="Q41" i="5"/>
  <c r="U41" i="5" s="1"/>
  <c r="D33" i="7" s="1"/>
  <c r="O42" i="5"/>
  <c r="S42" i="5" s="1"/>
  <c r="C34" i="7" s="1"/>
  <c r="P42" i="5"/>
  <c r="T42" i="5" s="1"/>
  <c r="B34" i="7" s="1"/>
  <c r="Q42" i="5"/>
  <c r="U42" i="5" s="1"/>
  <c r="D34" i="7" s="1"/>
  <c r="O43" i="5"/>
  <c r="S43" i="5" s="1"/>
  <c r="C35" i="7" s="1"/>
  <c r="P43" i="5"/>
  <c r="T43" i="5" s="1"/>
  <c r="B35" i="7" s="1"/>
  <c r="Q43" i="5"/>
  <c r="U43" i="5" s="1"/>
  <c r="D35" i="7" s="1"/>
  <c r="O44" i="5"/>
  <c r="S44" i="5" s="1"/>
  <c r="C36" i="7" s="1"/>
  <c r="P44" i="5"/>
  <c r="T44" i="5" s="1"/>
  <c r="B36" i="7" s="1"/>
  <c r="Q44" i="5"/>
  <c r="U44" i="5" s="1"/>
  <c r="D36" i="7" s="1"/>
  <c r="O45" i="5"/>
  <c r="S45" i="5" s="1"/>
  <c r="C37" i="7" s="1"/>
  <c r="P45" i="5"/>
  <c r="T45" i="5" s="1"/>
  <c r="B37" i="7" s="1"/>
  <c r="Q45" i="5"/>
  <c r="U45" i="5" s="1"/>
  <c r="D37" i="7" s="1"/>
  <c r="O46" i="5"/>
  <c r="S46" i="5" s="1"/>
  <c r="C38" i="7" s="1"/>
  <c r="P46" i="5"/>
  <c r="T46" i="5" s="1"/>
  <c r="B38" i="7" s="1"/>
  <c r="Q46" i="5"/>
  <c r="U46" i="5" s="1"/>
  <c r="D38" i="7" s="1"/>
  <c r="O47" i="5"/>
  <c r="S47" i="5" s="1"/>
  <c r="C39" i="7" s="1"/>
  <c r="P47" i="5"/>
  <c r="T47" i="5" s="1"/>
  <c r="B39" i="7" s="1"/>
  <c r="Q47" i="5"/>
  <c r="U47" i="5" s="1"/>
  <c r="D39" i="7" s="1"/>
  <c r="O48" i="5"/>
  <c r="S48" i="5" s="1"/>
  <c r="C40" i="7" s="1"/>
  <c r="P48" i="5"/>
  <c r="T48" i="5" s="1"/>
  <c r="B40" i="7" s="1"/>
  <c r="Q48" i="5"/>
  <c r="U48" i="5" s="1"/>
  <c r="D40" i="7" s="1"/>
  <c r="O49" i="5"/>
  <c r="S49" i="5" s="1"/>
  <c r="C41" i="7" s="1"/>
  <c r="P49" i="5"/>
  <c r="T49" i="5" s="1"/>
  <c r="B41" i="7" s="1"/>
  <c r="Q49" i="5"/>
  <c r="U49" i="5" s="1"/>
  <c r="D41" i="7" s="1"/>
  <c r="O50" i="5"/>
  <c r="S50" i="5" s="1"/>
  <c r="C42" i="7" s="1"/>
  <c r="P50" i="5"/>
  <c r="T50" i="5" s="1"/>
  <c r="B42" i="7" s="1"/>
  <c r="Q50" i="5"/>
  <c r="U50" i="5" s="1"/>
  <c r="D42" i="7" s="1"/>
  <c r="P40" i="5"/>
  <c r="T40" i="5" s="1"/>
  <c r="B32" i="7" s="1"/>
  <c r="Q40" i="5"/>
  <c r="U40" i="5" s="1"/>
  <c r="D32" i="7" s="1"/>
  <c r="O40" i="5"/>
  <c r="S40" i="5" s="1"/>
  <c r="C32" i="7" s="1"/>
  <c r="N41" i="5"/>
  <c r="A33" i="7" s="1"/>
  <c r="N42" i="5"/>
  <c r="A34" i="7" s="1"/>
  <c r="N43" i="5"/>
  <c r="A35" i="7" s="1"/>
  <c r="N44" i="5"/>
  <c r="A36" i="7" s="1"/>
  <c r="N45" i="5"/>
  <c r="A37" i="7" s="1"/>
  <c r="N46" i="5"/>
  <c r="A38" i="7" s="1"/>
  <c r="N47" i="5"/>
  <c r="A39" i="7" s="1"/>
  <c r="N48" i="5"/>
  <c r="A40" i="7" s="1"/>
  <c r="N49" i="5"/>
  <c r="A41" i="7" s="1"/>
  <c r="N50" i="5"/>
  <c r="A42" i="7" s="1"/>
  <c r="N53" i="5"/>
  <c r="A43" i="7" s="1"/>
  <c r="N54" i="5"/>
  <c r="A44" i="7" s="1"/>
  <c r="N55" i="5"/>
  <c r="A45" i="7" s="1"/>
  <c r="N56" i="5"/>
  <c r="A46" i="7" s="1"/>
  <c r="N57" i="5"/>
  <c r="A47" i="7" s="1"/>
  <c r="N58" i="5"/>
  <c r="A48" i="7" s="1"/>
  <c r="N59" i="5"/>
  <c r="A49" i="7" s="1"/>
  <c r="N60" i="5"/>
  <c r="A50" i="7" s="1"/>
  <c r="N61" i="5"/>
  <c r="A51" i="7" s="1"/>
  <c r="N62" i="5"/>
  <c r="A52" i="7" s="1"/>
  <c r="N63" i="5"/>
  <c r="A53" i="7" s="1"/>
  <c r="N65" i="5"/>
  <c r="A54" i="7" s="1"/>
  <c r="N66" i="5"/>
  <c r="A55" i="7" s="1"/>
  <c r="N67" i="5"/>
  <c r="A56" i="7" s="1"/>
  <c r="N69" i="5"/>
  <c r="A57" i="7" s="1"/>
  <c r="N70" i="5"/>
  <c r="A58" i="7" s="1"/>
  <c r="N71" i="5"/>
  <c r="A59" i="7" s="1"/>
  <c r="N72" i="5"/>
  <c r="A60" i="7" s="1"/>
  <c r="N73" i="5"/>
  <c r="A61" i="7" s="1"/>
  <c r="N74" i="5"/>
  <c r="A62" i="7" s="1"/>
  <c r="N75" i="5"/>
  <c r="A63" i="7" s="1"/>
  <c r="N76" i="5"/>
  <c r="A64" i="7" s="1"/>
  <c r="N77" i="5"/>
  <c r="A65" i="7" s="1"/>
  <c r="N78" i="5"/>
  <c r="A66" i="7" s="1"/>
  <c r="N79" i="5"/>
  <c r="A67" i="7" s="1"/>
  <c r="N80" i="5"/>
  <c r="A68" i="7" s="1"/>
  <c r="N81" i="5"/>
  <c r="A69" i="7" s="1"/>
  <c r="N82" i="5"/>
  <c r="A70" i="7" s="1"/>
  <c r="N83" i="5"/>
  <c r="A71" i="7" s="1"/>
  <c r="N84" i="5"/>
  <c r="N40" i="5"/>
  <c r="A32" i="7" s="1"/>
  <c r="F105" i="5" l="1"/>
  <c r="E84" i="7" s="1"/>
  <c r="D84" i="7"/>
  <c r="F104" i="5"/>
  <c r="E83" i="7" s="1"/>
  <c r="E96" i="5"/>
  <c r="D75" i="7" s="1"/>
  <c r="C97" i="5"/>
  <c r="B76" i="7" s="1"/>
  <c r="D97" i="5"/>
  <c r="C76" i="7" s="1"/>
  <c r="D94" i="5"/>
  <c r="C73" i="7" s="1"/>
  <c r="C96" i="5"/>
  <c r="B75" i="7" s="1"/>
  <c r="E94" i="5"/>
  <c r="D73" i="7" s="1"/>
  <c r="D96" i="5"/>
  <c r="C75" i="7" s="1"/>
  <c r="V78" i="5"/>
  <c r="E66" i="7" s="1"/>
  <c r="V70" i="5"/>
  <c r="E58" i="7" s="1"/>
  <c r="V50" i="5"/>
  <c r="E42" i="7" s="1"/>
  <c r="V46" i="5"/>
  <c r="E38" i="7" s="1"/>
  <c r="V42" i="5"/>
  <c r="E34" i="7" s="1"/>
  <c r="V53" i="5"/>
  <c r="E43" i="7" s="1"/>
  <c r="V58" i="5"/>
  <c r="E48" i="7" s="1"/>
  <c r="V66" i="5"/>
  <c r="E55" i="7" s="1"/>
  <c r="V74" i="5"/>
  <c r="E62" i="7" s="1"/>
  <c r="V40" i="5"/>
  <c r="E32" i="7" s="1"/>
  <c r="V47" i="5"/>
  <c r="E39" i="7" s="1"/>
  <c r="V63" i="5"/>
  <c r="E53" i="7" s="1"/>
  <c r="V54" i="5"/>
  <c r="E44" i="7" s="1"/>
  <c r="V55" i="5"/>
  <c r="E45" i="7" s="1"/>
  <c r="V77" i="5"/>
  <c r="E65" i="7" s="1"/>
  <c r="V48" i="5"/>
  <c r="E40" i="7" s="1"/>
  <c r="V43" i="5"/>
  <c r="E35" i="7" s="1"/>
  <c r="V60" i="5"/>
  <c r="E50" i="7" s="1"/>
  <c r="V84" i="5"/>
  <c r="V75" i="5"/>
  <c r="E63" i="7" s="1"/>
  <c r="V62" i="5"/>
  <c r="E52" i="7" s="1"/>
  <c r="V59" i="5"/>
  <c r="E49" i="7" s="1"/>
  <c r="V65" i="5"/>
  <c r="E54" i="7" s="1"/>
  <c r="V79" i="5"/>
  <c r="E67" i="7" s="1"/>
  <c r="V71" i="5"/>
  <c r="E59" i="7" s="1"/>
  <c r="V44" i="5"/>
  <c r="E36" i="7" s="1"/>
  <c r="V76" i="5"/>
  <c r="E64" i="7" s="1"/>
  <c r="V67" i="5"/>
  <c r="E56" i="7" s="1"/>
  <c r="V80" i="5"/>
  <c r="E68" i="7" s="1"/>
  <c r="V57" i="5"/>
  <c r="E47" i="7" s="1"/>
  <c r="V69" i="5"/>
  <c r="E57" i="7" s="1"/>
  <c r="V73" i="5"/>
  <c r="E61" i="7" s="1"/>
  <c r="V49" i="5"/>
  <c r="E41" i="7" s="1"/>
  <c r="V45" i="5"/>
  <c r="E37" i="7" s="1"/>
  <c r="V41" i="5"/>
  <c r="E33" i="7" s="1"/>
  <c r="V61" i="5"/>
  <c r="E51" i="7" s="1"/>
  <c r="V81" i="5"/>
  <c r="E69" i="7" s="1"/>
  <c r="V56" i="5"/>
  <c r="E46" i="7" s="1"/>
  <c r="V83" i="5"/>
  <c r="E71" i="7" s="1"/>
  <c r="V72" i="5"/>
  <c r="E60" i="7" s="1"/>
  <c r="D93" i="5"/>
  <c r="C72" i="7" s="1"/>
  <c r="C93" i="5"/>
  <c r="B72" i="7" s="1"/>
  <c r="D95" i="5"/>
  <c r="C74" i="7" s="1"/>
  <c r="C95" i="5"/>
  <c r="B74" i="7" s="1"/>
  <c r="V82" i="5"/>
  <c r="E70" i="7" s="1"/>
  <c r="E47" i="8"/>
  <c r="C50" i="8"/>
  <c r="C36" i="8"/>
  <c r="F15" i="8"/>
  <c r="C45" i="8" s="1"/>
  <c r="F16" i="8"/>
  <c r="C46" i="8" s="1"/>
  <c r="F17" i="8"/>
  <c r="C47" i="8" s="1"/>
  <c r="F19" i="8"/>
  <c r="C49" i="8" s="1"/>
  <c r="F8" i="8"/>
  <c r="C38" i="8" s="1"/>
  <c r="F6" i="8"/>
  <c r="O13" i="8"/>
  <c r="R13" i="8" s="1"/>
  <c r="E43" i="8" s="1"/>
  <c r="R7" i="8"/>
  <c r="E37" i="8" s="1"/>
  <c r="R16" i="8"/>
  <c r="E46" i="8" s="1"/>
  <c r="R6" i="8"/>
  <c r="E36" i="8" s="1"/>
  <c r="R17" i="8"/>
  <c r="R18" i="8"/>
  <c r="E48" i="8" s="1"/>
  <c r="R3" i="8"/>
  <c r="E33" i="8" s="1"/>
  <c r="R4" i="8"/>
  <c r="E34" i="8" s="1"/>
  <c r="R5" i="8"/>
  <c r="E35" i="8" s="1"/>
  <c r="R8" i="8"/>
  <c r="E38" i="8" s="1"/>
  <c r="R19" i="8"/>
  <c r="E49" i="8" s="1"/>
  <c r="R15" i="8"/>
  <c r="E45" i="8" s="1"/>
  <c r="R20" i="8"/>
  <c r="E50" i="8" s="1"/>
  <c r="L7" i="8"/>
  <c r="D37" i="8" s="1"/>
  <c r="L16" i="8"/>
  <c r="D46" i="8" s="1"/>
  <c r="L6" i="8"/>
  <c r="D36" i="8" s="1"/>
  <c r="L17" i="8"/>
  <c r="D47" i="8" s="1"/>
  <c r="L18" i="8"/>
  <c r="D48" i="8" s="1"/>
  <c r="L3" i="8"/>
  <c r="D33" i="8" s="1"/>
  <c r="L4" i="8"/>
  <c r="D34" i="8" s="1"/>
  <c r="L5" i="8"/>
  <c r="D35" i="8" s="1"/>
  <c r="L8" i="8"/>
  <c r="D38" i="8" s="1"/>
  <c r="L19" i="8"/>
  <c r="D49" i="8" s="1"/>
  <c r="L15" i="8"/>
  <c r="D45" i="8" s="1"/>
  <c r="L20" i="8"/>
  <c r="D50" i="8" s="1"/>
  <c r="I13" i="8"/>
  <c r="L13" i="8" s="1"/>
  <c r="D43" i="8" s="1"/>
  <c r="O12" i="8"/>
  <c r="R12" i="8" s="1"/>
  <c r="E42" i="8" s="1"/>
  <c r="I12" i="8"/>
  <c r="L12" i="8" s="1"/>
  <c r="D42" i="8" s="1"/>
  <c r="O10" i="8"/>
  <c r="R10" i="8" s="1"/>
  <c r="E40" i="8" s="1"/>
  <c r="I10" i="8"/>
  <c r="L10" i="8" s="1"/>
  <c r="D40" i="8" s="1"/>
  <c r="O9" i="8"/>
  <c r="R9" i="8" s="1"/>
  <c r="E39" i="8" s="1"/>
  <c r="I9" i="8"/>
  <c r="L9" i="8" s="1"/>
  <c r="D39" i="8" s="1"/>
  <c r="F3" i="8"/>
  <c r="C33" i="8" s="1"/>
  <c r="F4" i="8"/>
  <c r="C34" i="8" s="1"/>
  <c r="C13" i="8"/>
  <c r="F13" i="8" s="1"/>
  <c r="C43" i="8" s="1"/>
  <c r="C10" i="8"/>
  <c r="F10" i="8" s="1"/>
  <c r="C40" i="8" s="1"/>
  <c r="C9" i="8"/>
  <c r="F9" i="8" s="1"/>
  <c r="C39" i="8" s="1"/>
  <c r="F5" i="8"/>
  <c r="C35" i="8" s="1"/>
  <c r="C18" i="8"/>
  <c r="F18" i="8" s="1"/>
  <c r="C48" i="8" s="1"/>
  <c r="F7" i="8"/>
  <c r="C37" i="8" s="1"/>
  <c r="F50" i="8" l="1"/>
  <c r="F36" i="8"/>
  <c r="F45" i="8"/>
  <c r="F34" i="8"/>
  <c r="F43" i="8"/>
  <c r="F39" i="8"/>
  <c r="F38" i="8"/>
  <c r="F33" i="8"/>
  <c r="F35" i="8"/>
  <c r="F48" i="8"/>
  <c r="F49" i="8"/>
  <c r="F37" i="8"/>
  <c r="F47" i="8"/>
  <c r="F40" i="8"/>
  <c r="F46" i="8"/>
  <c r="F94" i="5"/>
  <c r="E73" i="7" s="1"/>
  <c r="F97" i="5"/>
  <c r="E76" i="7" s="1"/>
  <c r="F96" i="5"/>
  <c r="E75" i="7" s="1"/>
  <c r="F93" i="5"/>
  <c r="E72" i="7" s="1"/>
  <c r="R70" i="5"/>
  <c r="R78" i="5"/>
  <c r="R46" i="5"/>
  <c r="R72" i="5"/>
  <c r="R81" i="5"/>
  <c r="R41" i="5"/>
  <c r="R49" i="5"/>
  <c r="R76" i="5"/>
  <c r="R79" i="5"/>
  <c r="R62" i="5"/>
  <c r="R84" i="5"/>
  <c r="R55" i="5"/>
  <c r="R54" i="5"/>
  <c r="R47" i="5"/>
  <c r="R53" i="5"/>
  <c r="R83" i="5"/>
  <c r="R73" i="5"/>
  <c r="R80" i="5"/>
  <c r="R65" i="5"/>
  <c r="R74" i="5"/>
  <c r="R66" i="5"/>
  <c r="F95" i="5"/>
  <c r="E74" i="7" s="1"/>
  <c r="R61" i="5"/>
  <c r="R45" i="5"/>
  <c r="R69" i="5"/>
  <c r="R71" i="5"/>
  <c r="R75" i="5"/>
  <c r="R60" i="5"/>
  <c r="R48" i="5"/>
  <c r="R63" i="5"/>
  <c r="R40" i="5"/>
  <c r="R58" i="5"/>
  <c r="R42" i="5"/>
  <c r="R50" i="5"/>
  <c r="R82" i="5"/>
  <c r="R56" i="5"/>
  <c r="R57" i="5"/>
  <c r="R67" i="5"/>
  <c r="R44" i="5"/>
  <c r="R59" i="5"/>
  <c r="R43" i="5"/>
  <c r="R77" i="5"/>
  <c r="C12" i="8"/>
  <c r="F12" i="8" s="1"/>
  <c r="C42" i="8" s="1"/>
  <c r="F42" i="8" s="1"/>
  <c r="M96" i="8" l="1"/>
  <c r="L96" i="8"/>
  <c r="K96" i="8"/>
  <c r="M84" i="8"/>
  <c r="L84" i="8"/>
  <c r="K84" i="8"/>
  <c r="M83" i="8"/>
  <c r="L83" i="8"/>
  <c r="K83" i="8"/>
  <c r="D84" i="8"/>
  <c r="E84" i="8"/>
  <c r="E83" i="8"/>
  <c r="D83" i="8"/>
  <c r="C84" i="8"/>
  <c r="C83" i="8"/>
  <c r="I4" i="5"/>
  <c r="B4" i="7" s="1"/>
  <c r="J4" i="5"/>
  <c r="Q4" i="5" s="1"/>
  <c r="M4" i="7" s="1"/>
  <c r="K4" i="5"/>
  <c r="L4" i="5"/>
  <c r="S4" i="5" s="1"/>
  <c r="O4" i="7" s="1"/>
  <c r="M4" i="5"/>
  <c r="F4" i="7" s="1"/>
  <c r="N4" i="5"/>
  <c r="G4" i="7" s="1"/>
  <c r="I5" i="5"/>
  <c r="B5" i="7" s="1"/>
  <c r="J5" i="5"/>
  <c r="C5" i="7" s="1"/>
  <c r="K5" i="5"/>
  <c r="L5" i="5"/>
  <c r="S5" i="5" s="1"/>
  <c r="O5" i="7" s="1"/>
  <c r="M5" i="5"/>
  <c r="F5" i="7" s="1"/>
  <c r="N5" i="5"/>
  <c r="G5" i="7" s="1"/>
  <c r="I6" i="5"/>
  <c r="P6" i="5" s="1"/>
  <c r="L6" i="7" s="1"/>
  <c r="J6" i="5"/>
  <c r="C6" i="7" s="1"/>
  <c r="K6" i="5"/>
  <c r="L6" i="5"/>
  <c r="E6" i="7" s="1"/>
  <c r="M6" i="5"/>
  <c r="F6" i="7" s="1"/>
  <c r="N6" i="5"/>
  <c r="G6" i="7" s="1"/>
  <c r="I7" i="5"/>
  <c r="P7" i="5" s="1"/>
  <c r="L7" i="7" s="1"/>
  <c r="J7" i="5"/>
  <c r="Q7" i="5" s="1"/>
  <c r="M7" i="7" s="1"/>
  <c r="K7" i="5"/>
  <c r="L7" i="5"/>
  <c r="E7" i="7" s="1"/>
  <c r="M7" i="5"/>
  <c r="F7" i="7" s="1"/>
  <c r="N7" i="5"/>
  <c r="G7" i="7" s="1"/>
  <c r="I8" i="5"/>
  <c r="B8" i="7" s="1"/>
  <c r="J8" i="5"/>
  <c r="Q8" i="5" s="1"/>
  <c r="M8" i="7" s="1"/>
  <c r="K8" i="5"/>
  <c r="L8" i="5"/>
  <c r="S8" i="5" s="1"/>
  <c r="O8" i="7" s="1"/>
  <c r="M8" i="5"/>
  <c r="F8" i="7" s="1"/>
  <c r="N8" i="5"/>
  <c r="G8" i="7" s="1"/>
  <c r="I9" i="5"/>
  <c r="B9" i="7" s="1"/>
  <c r="J9" i="5"/>
  <c r="C9" i="7" s="1"/>
  <c r="K9" i="5"/>
  <c r="L9" i="5"/>
  <c r="S9" i="5" s="1"/>
  <c r="O9" i="7" s="1"/>
  <c r="M9" i="5"/>
  <c r="F9" i="7" s="1"/>
  <c r="N9" i="5"/>
  <c r="G9" i="7" s="1"/>
  <c r="I10" i="5"/>
  <c r="P10" i="5" s="1"/>
  <c r="L10" i="7" s="1"/>
  <c r="J10" i="5"/>
  <c r="C10" i="7" s="1"/>
  <c r="K10" i="5"/>
  <c r="L10" i="5"/>
  <c r="E10" i="7" s="1"/>
  <c r="M10" i="5"/>
  <c r="F10" i="7" s="1"/>
  <c r="N10" i="5"/>
  <c r="G10" i="7" s="1"/>
  <c r="I11" i="5"/>
  <c r="P11" i="5" s="1"/>
  <c r="L11" i="7" s="1"/>
  <c r="J11" i="5"/>
  <c r="Q11" i="5" s="1"/>
  <c r="M11" i="7" s="1"/>
  <c r="K11" i="5"/>
  <c r="L11" i="5"/>
  <c r="E11" i="7" s="1"/>
  <c r="M11" i="5"/>
  <c r="F11" i="7" s="1"/>
  <c r="N11" i="5"/>
  <c r="G11" i="7" s="1"/>
  <c r="I12" i="5"/>
  <c r="B12" i="7" s="1"/>
  <c r="J12" i="5"/>
  <c r="Q12" i="5" s="1"/>
  <c r="M12" i="7" s="1"/>
  <c r="K12" i="5"/>
  <c r="L12" i="5"/>
  <c r="S12" i="5" s="1"/>
  <c r="O12" i="7" s="1"/>
  <c r="M12" i="5"/>
  <c r="F12" i="7" s="1"/>
  <c r="N12" i="5"/>
  <c r="G12" i="7" s="1"/>
  <c r="I13" i="5"/>
  <c r="B13" i="7" s="1"/>
  <c r="J13" i="5"/>
  <c r="C13" i="7" s="1"/>
  <c r="K13" i="5"/>
  <c r="L13" i="5"/>
  <c r="S13" i="5" s="1"/>
  <c r="O13" i="7" s="1"/>
  <c r="M13" i="5"/>
  <c r="F13" i="7" s="1"/>
  <c r="N13" i="5"/>
  <c r="G13" i="7" s="1"/>
  <c r="I14" i="5"/>
  <c r="P14" i="5" s="1"/>
  <c r="L14" i="7" s="1"/>
  <c r="J14" i="5"/>
  <c r="C14" i="7" s="1"/>
  <c r="K14" i="5"/>
  <c r="L14" i="5"/>
  <c r="E14" i="7" s="1"/>
  <c r="M14" i="5"/>
  <c r="F14" i="7" s="1"/>
  <c r="N14" i="5"/>
  <c r="G14" i="7" s="1"/>
  <c r="I15" i="5"/>
  <c r="P15" i="5" s="1"/>
  <c r="L15" i="7" s="1"/>
  <c r="J15" i="5"/>
  <c r="Q15" i="5" s="1"/>
  <c r="M15" i="7" s="1"/>
  <c r="K15" i="5"/>
  <c r="L15" i="5"/>
  <c r="E15" i="7" s="1"/>
  <c r="M15" i="5"/>
  <c r="F15" i="7" s="1"/>
  <c r="N15" i="5"/>
  <c r="G15" i="7" s="1"/>
  <c r="I16" i="5"/>
  <c r="B16" i="7" s="1"/>
  <c r="J16" i="5"/>
  <c r="Q16" i="5" s="1"/>
  <c r="M16" i="7" s="1"/>
  <c r="K16" i="5"/>
  <c r="L16" i="5"/>
  <c r="S16" i="5" s="1"/>
  <c r="O16" i="7" s="1"/>
  <c r="M16" i="5"/>
  <c r="F16" i="7" s="1"/>
  <c r="N16" i="5"/>
  <c r="G16" i="7" s="1"/>
  <c r="I17" i="5"/>
  <c r="B17" i="7" s="1"/>
  <c r="J17" i="5"/>
  <c r="C17" i="7" s="1"/>
  <c r="K17" i="5"/>
  <c r="L17" i="5"/>
  <c r="S17" i="5" s="1"/>
  <c r="O17" i="7" s="1"/>
  <c r="M17" i="5"/>
  <c r="F17" i="7" s="1"/>
  <c r="N17" i="5"/>
  <c r="G17" i="7" s="1"/>
  <c r="I18" i="5"/>
  <c r="P18" i="5" s="1"/>
  <c r="L18" i="7" s="1"/>
  <c r="J18" i="5"/>
  <c r="C18" i="7" s="1"/>
  <c r="K18" i="5"/>
  <c r="L18" i="5"/>
  <c r="E18" i="7" s="1"/>
  <c r="M18" i="5"/>
  <c r="F18" i="7" s="1"/>
  <c r="N18" i="5"/>
  <c r="G18" i="7" s="1"/>
  <c r="I19" i="5"/>
  <c r="P19" i="5" s="1"/>
  <c r="L19" i="7" s="1"/>
  <c r="J19" i="5"/>
  <c r="Q19" i="5" s="1"/>
  <c r="M19" i="7" s="1"/>
  <c r="K19" i="5"/>
  <c r="L19" i="5"/>
  <c r="E19" i="7" s="1"/>
  <c r="M19" i="5"/>
  <c r="F19" i="7" s="1"/>
  <c r="N19" i="5"/>
  <c r="G19" i="7" s="1"/>
  <c r="I20" i="5"/>
  <c r="B20" i="7" s="1"/>
  <c r="J20" i="5"/>
  <c r="Q20" i="5" s="1"/>
  <c r="M20" i="7" s="1"/>
  <c r="K20" i="5"/>
  <c r="L20" i="5"/>
  <c r="S20" i="5" s="1"/>
  <c r="O20" i="7" s="1"/>
  <c r="M20" i="5"/>
  <c r="F20" i="7" s="1"/>
  <c r="N20" i="5"/>
  <c r="G20" i="7" s="1"/>
  <c r="I21" i="5"/>
  <c r="B21" i="7" s="1"/>
  <c r="J21" i="5"/>
  <c r="C21" i="7" s="1"/>
  <c r="K21" i="5"/>
  <c r="L21" i="5"/>
  <c r="S21" i="5" s="1"/>
  <c r="O21" i="7" s="1"/>
  <c r="M21" i="5"/>
  <c r="F21" i="7" s="1"/>
  <c r="N21" i="5"/>
  <c r="G21" i="7" s="1"/>
  <c r="I22" i="5"/>
  <c r="P22" i="5" s="1"/>
  <c r="L22" i="7" s="1"/>
  <c r="J22" i="5"/>
  <c r="C22" i="7" s="1"/>
  <c r="K22" i="5"/>
  <c r="L22" i="5"/>
  <c r="E22" i="7" s="1"/>
  <c r="M22" i="5"/>
  <c r="F22" i="7" s="1"/>
  <c r="N22" i="5"/>
  <c r="G22" i="7" s="1"/>
  <c r="I23" i="5"/>
  <c r="P23" i="5" s="1"/>
  <c r="L23" i="7" s="1"/>
  <c r="J23" i="5"/>
  <c r="Q23" i="5" s="1"/>
  <c r="M23" i="7" s="1"/>
  <c r="K23" i="5"/>
  <c r="L23" i="5"/>
  <c r="E23" i="7" s="1"/>
  <c r="M23" i="5"/>
  <c r="F23" i="7" s="1"/>
  <c r="N23" i="5"/>
  <c r="G23" i="7" s="1"/>
  <c r="I24" i="5"/>
  <c r="B24" i="7" s="1"/>
  <c r="J24" i="5"/>
  <c r="Q24" i="5" s="1"/>
  <c r="M24" i="7" s="1"/>
  <c r="K24" i="5"/>
  <c r="D24" i="7" s="1"/>
  <c r="L24" i="5"/>
  <c r="E24" i="7" s="1"/>
  <c r="M24" i="5"/>
  <c r="F24" i="7" s="1"/>
  <c r="N24" i="5"/>
  <c r="G24" i="7" s="1"/>
  <c r="I25" i="5"/>
  <c r="B25" i="7" s="1"/>
  <c r="J25" i="5"/>
  <c r="K25" i="5"/>
  <c r="L25" i="5"/>
  <c r="S25" i="5" s="1"/>
  <c r="O25" i="7" s="1"/>
  <c r="M25" i="5"/>
  <c r="F25" i="7" s="1"/>
  <c r="N25" i="5"/>
  <c r="G25" i="7" s="1"/>
  <c r="I26" i="5"/>
  <c r="B26" i="7" s="1"/>
  <c r="J26" i="5"/>
  <c r="C26" i="7" s="1"/>
  <c r="K26" i="5"/>
  <c r="D26" i="7" s="1"/>
  <c r="L26" i="5"/>
  <c r="E26" i="7" s="1"/>
  <c r="M26" i="5"/>
  <c r="F26" i="7" s="1"/>
  <c r="N26" i="5"/>
  <c r="G26" i="7" s="1"/>
  <c r="I27" i="5"/>
  <c r="P27" i="5" s="1"/>
  <c r="L27" i="7" s="1"/>
  <c r="J27" i="5"/>
  <c r="Q27" i="5" s="1"/>
  <c r="M27" i="7" s="1"/>
  <c r="K27" i="5"/>
  <c r="L27" i="5"/>
  <c r="E27" i="7" s="1"/>
  <c r="M27" i="5"/>
  <c r="F27" i="7" s="1"/>
  <c r="N27" i="5"/>
  <c r="G27" i="7" s="1"/>
  <c r="I28" i="5"/>
  <c r="B28" i="7" s="1"/>
  <c r="J28" i="5"/>
  <c r="Q28" i="5" s="1"/>
  <c r="M28" i="7" s="1"/>
  <c r="K28" i="5"/>
  <c r="D28" i="7" s="1"/>
  <c r="L28" i="5"/>
  <c r="E28" i="7" s="1"/>
  <c r="M28" i="5"/>
  <c r="F28" i="7" s="1"/>
  <c r="N28" i="5"/>
  <c r="G28" i="7" s="1"/>
  <c r="J3" i="5"/>
  <c r="C3" i="7" s="1"/>
  <c r="K3" i="5"/>
  <c r="L3" i="5"/>
  <c r="E3" i="7" s="1"/>
  <c r="M3" i="5"/>
  <c r="F3" i="7" s="1"/>
  <c r="N3" i="5"/>
  <c r="G3" i="7" s="1"/>
  <c r="I3" i="5"/>
  <c r="B3" i="7" s="1"/>
  <c r="S23" i="5" l="1"/>
  <c r="O23" i="7" s="1"/>
  <c r="Q10" i="5"/>
  <c r="M10" i="7" s="1"/>
  <c r="E21" i="7"/>
  <c r="C8" i="7"/>
  <c r="Q22" i="5"/>
  <c r="M22" i="7" s="1"/>
  <c r="Q6" i="5"/>
  <c r="M6" i="7" s="1"/>
  <c r="C20" i="7"/>
  <c r="C4" i="7"/>
  <c r="Q18" i="5"/>
  <c r="M18" i="7" s="1"/>
  <c r="B27" i="7"/>
  <c r="C16" i="7"/>
  <c r="S27" i="5"/>
  <c r="O27" i="7" s="1"/>
  <c r="Q14" i="5"/>
  <c r="M14" i="7" s="1"/>
  <c r="E25" i="7"/>
  <c r="C12" i="7"/>
  <c r="S18" i="5"/>
  <c r="O18" i="7" s="1"/>
  <c r="S10" i="5"/>
  <c r="O10" i="7" s="1"/>
  <c r="E12" i="7"/>
  <c r="E4" i="7"/>
  <c r="Q13" i="5"/>
  <c r="M13" i="7" s="1"/>
  <c r="Q5" i="5"/>
  <c r="M5" i="7" s="1"/>
  <c r="C15" i="7"/>
  <c r="C7" i="7"/>
  <c r="P21" i="5"/>
  <c r="L21" i="7" s="1"/>
  <c r="P17" i="5"/>
  <c r="L17" i="7" s="1"/>
  <c r="P13" i="5"/>
  <c r="L13" i="7" s="1"/>
  <c r="P9" i="5"/>
  <c r="L9" i="7" s="1"/>
  <c r="P5" i="5"/>
  <c r="L5" i="7" s="1"/>
  <c r="C24" i="7"/>
  <c r="B19" i="7"/>
  <c r="B15" i="7"/>
  <c r="B11" i="7"/>
  <c r="B7" i="7"/>
  <c r="P25" i="5"/>
  <c r="L25" i="7" s="1"/>
  <c r="S19" i="5"/>
  <c r="O19" i="7" s="1"/>
  <c r="S15" i="5"/>
  <c r="O15" i="7" s="1"/>
  <c r="S11" i="5"/>
  <c r="O11" i="7" s="1"/>
  <c r="S7" i="5"/>
  <c r="O7" i="7" s="1"/>
  <c r="C28" i="7"/>
  <c r="B23" i="7"/>
  <c r="E17" i="7"/>
  <c r="E13" i="7"/>
  <c r="E9" i="7"/>
  <c r="E5" i="7"/>
  <c r="P3" i="5"/>
  <c r="L3" i="7" s="1"/>
  <c r="S28" i="5"/>
  <c r="O28" i="7" s="1"/>
  <c r="S26" i="5"/>
  <c r="O26" i="7" s="1"/>
  <c r="S24" i="5"/>
  <c r="O24" i="7" s="1"/>
  <c r="D25" i="7"/>
  <c r="R25" i="5"/>
  <c r="N25" i="7" s="1"/>
  <c r="D23" i="7"/>
  <c r="R23" i="5"/>
  <c r="N23" i="7" s="1"/>
  <c r="D21" i="7"/>
  <c r="R21" i="5"/>
  <c r="N21" i="7" s="1"/>
  <c r="D17" i="7"/>
  <c r="R17" i="5"/>
  <c r="N17" i="7" s="1"/>
  <c r="D15" i="7"/>
  <c r="R15" i="5"/>
  <c r="N15" i="7" s="1"/>
  <c r="D13" i="7"/>
  <c r="R13" i="5"/>
  <c r="N13" i="7" s="1"/>
  <c r="D11" i="7"/>
  <c r="R11" i="5"/>
  <c r="N11" i="7" s="1"/>
  <c r="D9" i="7"/>
  <c r="R9" i="5"/>
  <c r="N9" i="7" s="1"/>
  <c r="D7" i="7"/>
  <c r="R7" i="5"/>
  <c r="N7" i="7" s="1"/>
  <c r="D5" i="7"/>
  <c r="R5" i="5"/>
  <c r="N5" i="7" s="1"/>
  <c r="P28" i="5"/>
  <c r="L28" i="7" s="1"/>
  <c r="P26" i="5"/>
  <c r="L26" i="7" s="1"/>
  <c r="P24" i="5"/>
  <c r="L24" i="7" s="1"/>
  <c r="Q21" i="5"/>
  <c r="M21" i="7" s="1"/>
  <c r="P16" i="5"/>
  <c r="L16" i="7" s="1"/>
  <c r="P8" i="5"/>
  <c r="L8" i="7" s="1"/>
  <c r="C23" i="7"/>
  <c r="E20" i="7"/>
  <c r="B18" i="7"/>
  <c r="B10" i="7"/>
  <c r="D27" i="7"/>
  <c r="R27" i="5"/>
  <c r="N27" i="7" s="1"/>
  <c r="D19" i="7"/>
  <c r="R19" i="5"/>
  <c r="N19" i="7" s="1"/>
  <c r="R3" i="5"/>
  <c r="N3" i="7" s="1"/>
  <c r="D3" i="7"/>
  <c r="Q25" i="5"/>
  <c r="M25" i="7" s="1"/>
  <c r="C25" i="7"/>
  <c r="S3" i="5"/>
  <c r="O3" i="7" s="1"/>
  <c r="F14" i="6" s="1"/>
  <c r="N14" i="6" s="1"/>
  <c r="S22" i="5"/>
  <c r="O22" i="7" s="1"/>
  <c r="P20" i="5"/>
  <c r="L20" i="7" s="1"/>
  <c r="Q17" i="5"/>
  <c r="M17" i="7" s="1"/>
  <c r="S14" i="5"/>
  <c r="O14" i="7" s="1"/>
  <c r="P12" i="5"/>
  <c r="L12" i="7" s="1"/>
  <c r="Q9" i="5"/>
  <c r="M9" i="7" s="1"/>
  <c r="S6" i="5"/>
  <c r="O6" i="7" s="1"/>
  <c r="P4" i="5"/>
  <c r="L4" i="7" s="1"/>
  <c r="C27" i="7"/>
  <c r="B22" i="7"/>
  <c r="C19" i="7"/>
  <c r="E16" i="7"/>
  <c r="B14" i="7"/>
  <c r="C11" i="7"/>
  <c r="E8" i="7"/>
  <c r="B6" i="7"/>
  <c r="D22" i="7"/>
  <c r="R22" i="5"/>
  <c r="N22" i="7" s="1"/>
  <c r="D20" i="7"/>
  <c r="R20" i="5"/>
  <c r="N20" i="7" s="1"/>
  <c r="D18" i="7"/>
  <c r="R18" i="5"/>
  <c r="N18" i="7" s="1"/>
  <c r="D16" i="7"/>
  <c r="R16" i="5"/>
  <c r="N16" i="7" s="1"/>
  <c r="D14" i="7"/>
  <c r="R14" i="5"/>
  <c r="N14" i="7" s="1"/>
  <c r="D12" i="7"/>
  <c r="R12" i="5"/>
  <c r="N12" i="7" s="1"/>
  <c r="D10" i="7"/>
  <c r="R10" i="5"/>
  <c r="N10" i="7" s="1"/>
  <c r="D8" i="7"/>
  <c r="R8" i="5"/>
  <c r="N8" i="7" s="1"/>
  <c r="D6" i="7"/>
  <c r="R6" i="5"/>
  <c r="N6" i="7" s="1"/>
  <c r="D4" i="7"/>
  <c r="R4" i="5"/>
  <c r="N4" i="7" s="1"/>
  <c r="Q3" i="5"/>
  <c r="M3" i="7" s="1"/>
  <c r="R28" i="5"/>
  <c r="N28" i="7" s="1"/>
  <c r="R26" i="5"/>
  <c r="N26" i="7" s="1"/>
  <c r="R24" i="5"/>
  <c r="N24" i="7" s="1"/>
  <c r="Q26" i="5"/>
  <c r="M26" i="7" s="1"/>
  <c r="F76" i="8"/>
  <c r="E76" i="8"/>
  <c r="D76" i="8"/>
  <c r="C76" i="8"/>
  <c r="F75" i="8"/>
  <c r="E75" i="8"/>
  <c r="D75" i="8"/>
  <c r="C75" i="8"/>
  <c r="F74" i="8"/>
  <c r="E74" i="8"/>
  <c r="D74" i="8"/>
  <c r="C74" i="8"/>
  <c r="F73" i="8"/>
  <c r="E73" i="8"/>
  <c r="D73" i="8"/>
  <c r="C73" i="8"/>
  <c r="F72" i="8"/>
  <c r="E72" i="8"/>
  <c r="D72" i="8"/>
  <c r="C72" i="8"/>
  <c r="F71" i="8"/>
  <c r="E71" i="8"/>
  <c r="D71" i="8"/>
  <c r="C71" i="8"/>
  <c r="F70" i="8"/>
  <c r="F96" i="8" s="1"/>
  <c r="E70" i="8"/>
  <c r="E96" i="8" s="1"/>
  <c r="D70" i="8"/>
  <c r="D96" i="8" s="1"/>
  <c r="C70" i="8"/>
  <c r="C96" i="8" s="1"/>
  <c r="F69" i="8"/>
  <c r="E69" i="8"/>
  <c r="D69" i="8"/>
  <c r="C69" i="8"/>
  <c r="F68" i="8"/>
  <c r="E68" i="8"/>
  <c r="D68" i="8"/>
  <c r="C68" i="8"/>
  <c r="F66" i="8"/>
  <c r="E66" i="8"/>
  <c r="D66" i="8"/>
  <c r="C66" i="8"/>
  <c r="F65" i="8"/>
  <c r="E65" i="8"/>
  <c r="D65" i="8"/>
  <c r="C65" i="8"/>
  <c r="F64" i="8"/>
  <c r="E64" i="8"/>
  <c r="D64" i="8"/>
  <c r="C64" i="8"/>
  <c r="F63" i="8"/>
  <c r="E63" i="8"/>
  <c r="E10" i="6" s="1"/>
  <c r="D63" i="8"/>
  <c r="D10" i="6" s="1"/>
  <c r="C63" i="8"/>
  <c r="C10" i="6" s="1"/>
  <c r="F62" i="8"/>
  <c r="E62" i="8"/>
  <c r="D62" i="8"/>
  <c r="C62" i="8"/>
  <c r="F61" i="8"/>
  <c r="E61" i="8"/>
  <c r="D61" i="8"/>
  <c r="C61" i="8"/>
  <c r="F60" i="8"/>
  <c r="E60" i="8"/>
  <c r="D60" i="8"/>
  <c r="C60" i="8"/>
  <c r="F59" i="8"/>
  <c r="E59" i="8"/>
  <c r="D59" i="8"/>
  <c r="C59" i="8"/>
  <c r="N50" i="8"/>
  <c r="M50" i="8"/>
  <c r="L50" i="8"/>
  <c r="K50" i="8"/>
  <c r="N49" i="8"/>
  <c r="M49" i="8"/>
  <c r="L49" i="8"/>
  <c r="K49" i="8"/>
  <c r="N48" i="8"/>
  <c r="M48" i="8"/>
  <c r="L48" i="8"/>
  <c r="K48" i="8"/>
  <c r="N47" i="8"/>
  <c r="M47" i="8"/>
  <c r="L47" i="8"/>
  <c r="K47" i="8"/>
  <c r="N46" i="8"/>
  <c r="M46" i="8"/>
  <c r="L46" i="8"/>
  <c r="K46" i="8"/>
  <c r="N45" i="8"/>
  <c r="M45" i="8"/>
  <c r="L45" i="8"/>
  <c r="K45" i="8"/>
  <c r="N43" i="8"/>
  <c r="M43" i="8"/>
  <c r="L43" i="8"/>
  <c r="K43" i="8"/>
  <c r="N42" i="8"/>
  <c r="M42" i="8"/>
  <c r="L42" i="8"/>
  <c r="K42" i="8"/>
  <c r="N40" i="8"/>
  <c r="M40" i="8"/>
  <c r="L40" i="8"/>
  <c r="K40" i="8"/>
  <c r="N39" i="8"/>
  <c r="M39" i="8"/>
  <c r="L39" i="8"/>
  <c r="K39" i="8"/>
  <c r="N38" i="8"/>
  <c r="M38" i="8"/>
  <c r="L38" i="8"/>
  <c r="K38" i="8"/>
  <c r="N36" i="8"/>
  <c r="M36" i="8"/>
  <c r="L36" i="8"/>
  <c r="K36" i="8"/>
  <c r="N35" i="8"/>
  <c r="M35" i="8"/>
  <c r="L35" i="8"/>
  <c r="K35" i="8"/>
  <c r="N34" i="8"/>
  <c r="M34" i="8"/>
  <c r="L34" i="8"/>
  <c r="K34" i="8"/>
  <c r="N33" i="8"/>
  <c r="M33" i="8"/>
  <c r="L33" i="8"/>
  <c r="D101" i="8" l="1"/>
  <c r="D22" i="6"/>
  <c r="C92" i="8"/>
  <c r="C13" i="6"/>
  <c r="D90" i="8"/>
  <c r="D11" i="6"/>
  <c r="E95" i="8"/>
  <c r="E16" i="6"/>
  <c r="C90" i="8"/>
  <c r="C11" i="6"/>
  <c r="C99" i="8"/>
  <c r="C20" i="6"/>
  <c r="D88" i="8"/>
  <c r="D9" i="6"/>
  <c r="D95" i="8"/>
  <c r="D16" i="6"/>
  <c r="E88" i="8"/>
  <c r="E9" i="6"/>
  <c r="E99" i="8"/>
  <c r="E20" i="6"/>
  <c r="F20" i="6"/>
  <c r="F99" i="8"/>
  <c r="C95" i="8"/>
  <c r="C16" i="6"/>
  <c r="D86" i="8"/>
  <c r="D7" i="6"/>
  <c r="D97" i="8"/>
  <c r="D18" i="6"/>
  <c r="E86" i="8"/>
  <c r="E7" i="6"/>
  <c r="E97" i="8"/>
  <c r="E18" i="6"/>
  <c r="C88" i="8"/>
  <c r="C9" i="6"/>
  <c r="C101" i="8"/>
  <c r="C22" i="6"/>
  <c r="D99" i="8"/>
  <c r="D20" i="6"/>
  <c r="E92" i="8"/>
  <c r="E13" i="6"/>
  <c r="F7" i="6"/>
  <c r="F86" i="8"/>
  <c r="F16" i="6"/>
  <c r="F95" i="8"/>
  <c r="D85" i="8"/>
  <c r="D6" i="6"/>
  <c r="D87" i="8"/>
  <c r="D8" i="6"/>
  <c r="D100" i="8"/>
  <c r="D21" i="6"/>
  <c r="E91" i="8"/>
  <c r="E12" i="6"/>
  <c r="E94" i="8"/>
  <c r="E15" i="6"/>
  <c r="E98" i="8"/>
  <c r="E19" i="6"/>
  <c r="E100" i="8"/>
  <c r="E21" i="6"/>
  <c r="E102" i="8"/>
  <c r="E23" i="6"/>
  <c r="C86" i="8"/>
  <c r="C7" i="6"/>
  <c r="C97" i="8"/>
  <c r="C18" i="6"/>
  <c r="D92" i="8"/>
  <c r="D13" i="6"/>
  <c r="E90" i="8"/>
  <c r="E11" i="6"/>
  <c r="E101" i="8"/>
  <c r="E22" i="6"/>
  <c r="F9" i="6"/>
  <c r="F88" i="8"/>
  <c r="F11" i="6"/>
  <c r="F90" i="8"/>
  <c r="F13" i="6"/>
  <c r="F92" i="8"/>
  <c r="F18" i="6"/>
  <c r="F97" i="8"/>
  <c r="F22" i="6"/>
  <c r="F101" i="8"/>
  <c r="C85" i="8"/>
  <c r="C6" i="6"/>
  <c r="C87" i="8"/>
  <c r="C8" i="6"/>
  <c r="C91" i="8"/>
  <c r="C12" i="6"/>
  <c r="C94" i="8"/>
  <c r="C15" i="6"/>
  <c r="C98" i="8"/>
  <c r="C19" i="6"/>
  <c r="C100" i="8"/>
  <c r="C21" i="6"/>
  <c r="C102" i="8"/>
  <c r="C23" i="6"/>
  <c r="D91" i="8"/>
  <c r="D12" i="6"/>
  <c r="D94" i="8"/>
  <c r="D15" i="6"/>
  <c r="D98" i="8"/>
  <c r="D19" i="6"/>
  <c r="D102" i="8"/>
  <c r="D23" i="6"/>
  <c r="E85" i="8"/>
  <c r="E6" i="6"/>
  <c r="E87" i="8"/>
  <c r="E8" i="6"/>
  <c r="F6" i="6"/>
  <c r="F85" i="8"/>
  <c r="F8" i="6"/>
  <c r="F87" i="8"/>
  <c r="F10" i="6"/>
  <c r="F89" i="8"/>
  <c r="F12" i="6"/>
  <c r="F91" i="8"/>
  <c r="F15" i="6"/>
  <c r="F94" i="8"/>
  <c r="F19" i="6"/>
  <c r="F98" i="8"/>
  <c r="F21" i="6"/>
  <c r="F100" i="8"/>
  <c r="F23" i="6"/>
  <c r="F102" i="8"/>
  <c r="E89" i="8"/>
  <c r="C89" i="8"/>
  <c r="D89" i="8"/>
  <c r="D122" i="4"/>
  <c r="D121" i="4"/>
  <c r="D120" i="4"/>
  <c r="D118" i="4"/>
  <c r="D117" i="4"/>
  <c r="D115" i="4"/>
  <c r="D114" i="4"/>
  <c r="D113" i="4"/>
  <c r="D111" i="4"/>
  <c r="D110" i="4"/>
  <c r="D108" i="4"/>
  <c r="D107" i="4"/>
  <c r="D106" i="4"/>
  <c r="D105" i="4"/>
  <c r="E104" i="4"/>
  <c r="E112" i="4" s="1"/>
  <c r="D104" i="4"/>
  <c r="D102" i="4"/>
  <c r="D101" i="4"/>
  <c r="E100" i="4"/>
  <c r="D100" i="4"/>
  <c r="E99" i="4"/>
  <c r="D99" i="4"/>
  <c r="D98" i="4"/>
  <c r="D97" i="4"/>
  <c r="D96" i="4"/>
  <c r="D95" i="4"/>
  <c r="D93" i="4"/>
  <c r="D92" i="4"/>
  <c r="E91" i="4"/>
  <c r="D91" i="4"/>
  <c r="E90" i="4"/>
  <c r="D90" i="4"/>
  <c r="D89" i="4"/>
  <c r="D88" i="4"/>
  <c r="D87" i="4"/>
  <c r="D86" i="4"/>
  <c r="D84" i="4"/>
  <c r="D83" i="4"/>
  <c r="E82" i="4"/>
  <c r="D82" i="4"/>
  <c r="E81" i="4"/>
  <c r="D81" i="4"/>
  <c r="D80" i="4"/>
  <c r="D79" i="4"/>
  <c r="D75" i="4"/>
  <c r="D74" i="4"/>
  <c r="E73" i="4"/>
  <c r="E78" i="4" s="1"/>
  <c r="D78" i="4" s="1"/>
  <c r="D73" i="4"/>
  <c r="E72" i="4"/>
  <c r="E77" i="4" s="1"/>
  <c r="D77" i="4" s="1"/>
  <c r="D72" i="4"/>
  <c r="D71" i="4"/>
  <c r="D70" i="4"/>
  <c r="D68" i="4"/>
  <c r="D67" i="4"/>
  <c r="D66" i="4"/>
  <c r="E65" i="4"/>
  <c r="D65" i="4" s="1"/>
  <c r="D64" i="4"/>
  <c r="D63" i="4"/>
  <c r="D61" i="4"/>
  <c r="D60" i="4"/>
  <c r="E59" i="4"/>
  <c r="D59" i="4"/>
  <c r="E58" i="4"/>
  <c r="D58" i="4" s="1"/>
  <c r="D56" i="4"/>
  <c r="D55" i="4"/>
  <c r="E54" i="4"/>
  <c r="D54" i="4" s="1"/>
  <c r="E53" i="4"/>
  <c r="D53" i="4"/>
  <c r="D51" i="4"/>
  <c r="E50" i="4"/>
  <c r="D50" i="4" s="1"/>
  <c r="D49" i="4"/>
  <c r="D48" i="4"/>
  <c r="D47" i="4"/>
  <c r="D46" i="4"/>
  <c r="D45" i="4"/>
  <c r="E44" i="4"/>
  <c r="D44" i="4" s="1"/>
  <c r="E42" i="4"/>
  <c r="D42" i="4" s="1"/>
  <c r="D41" i="4"/>
  <c r="D40" i="4"/>
  <c r="E39" i="4"/>
  <c r="D39" i="4" s="1"/>
  <c r="D38" i="4"/>
  <c r="D37" i="4"/>
  <c r="E35" i="4"/>
  <c r="D35" i="4" s="1"/>
  <c r="D34" i="4"/>
  <c r="D33" i="4"/>
  <c r="E32" i="4"/>
  <c r="D32" i="4" s="1"/>
  <c r="D31" i="4"/>
  <c r="D30" i="4"/>
  <c r="D27" i="4"/>
  <c r="E26" i="4"/>
  <c r="D26" i="4"/>
  <c r="E25" i="4"/>
  <c r="D25" i="4"/>
  <c r="D24" i="4"/>
  <c r="E23" i="4"/>
  <c r="D23" i="4" s="1"/>
  <c r="D22" i="4"/>
  <c r="E21" i="4"/>
  <c r="D21" i="4" s="1"/>
  <c r="D20" i="4"/>
  <c r="E19" i="4"/>
  <c r="D19" i="4"/>
  <c r="D17" i="4"/>
  <c r="E15" i="4"/>
  <c r="D15" i="4"/>
  <c r="E13" i="4"/>
  <c r="D13" i="4" s="1"/>
  <c r="E12" i="4"/>
  <c r="D12" i="4"/>
  <c r="E11" i="4"/>
  <c r="D11" i="4" s="1"/>
  <c r="E10" i="4"/>
  <c r="E16" i="4" s="1"/>
  <c r="D16" i="4" s="1"/>
  <c r="D10" i="4"/>
  <c r="D9" i="4"/>
  <c r="E7" i="4"/>
  <c r="D6" i="4"/>
  <c r="L10" i="6" l="1"/>
  <c r="K10" i="6"/>
  <c r="M10" i="6"/>
  <c r="N10" i="6"/>
  <c r="E119" i="4"/>
  <c r="D119" i="4" s="1"/>
  <c r="D112" i="4"/>
  <c r="E14" i="4"/>
  <c r="D14" i="4" s="1"/>
</calcChain>
</file>

<file path=xl/sharedStrings.xml><?xml version="1.0" encoding="utf-8"?>
<sst xmlns="http://schemas.openxmlformats.org/spreadsheetml/2006/main" count="1357" uniqueCount="339">
  <si>
    <t>CO2</t>
  </si>
  <si>
    <t>CH4</t>
  </si>
  <si>
    <t>N2O</t>
  </si>
  <si>
    <t>Australia</t>
  </si>
  <si>
    <t>Austria</t>
  </si>
  <si>
    <t>Belgium</t>
  </si>
  <si>
    <t>Bulgaria</t>
  </si>
  <si>
    <t>Canada</t>
  </si>
  <si>
    <t>Croatia</t>
  </si>
  <si>
    <t>Cyprus</t>
  </si>
  <si>
    <t>Denmark</t>
  </si>
  <si>
    <t>Estonia</t>
  </si>
  <si>
    <t>Czechia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</si>
  <si>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</si>
  <si>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</si>
  <si>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</si>
  <si>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</si>
  <si>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</si>
  <si>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</si>
  <si>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</si>
  <si>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</si>
  <si>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</si>
  <si>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</si>
  <si>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</si>
  <si>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</si>
  <si>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</si>
  <si>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</si>
  <si>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</si>
  <si>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</si>
  <si>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</si>
  <si>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</si>
  <si>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</si>
  <si>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Iceland</t>
  </si>
  <si>
    <t>Japan</t>
  </si>
  <si>
    <t>Liechtenstein</t>
  </si>
  <si>
    <t>New Zealand</t>
  </si>
  <si>
    <t>Ukraine</t>
  </si>
  <si>
    <t>Egypt</t>
  </si>
  <si>
    <t>Guatemala</t>
  </si>
  <si>
    <t>Argentina</t>
  </si>
  <si>
    <t>Chile</t>
  </si>
  <si>
    <t>Uruguay</t>
  </si>
  <si>
    <t>Indonesia</t>
  </si>
  <si>
    <t>Malaysia</t>
  </si>
  <si>
    <t>Singapore</t>
  </si>
  <si>
    <t>Viet Nam</t>
  </si>
  <si>
    <t>Algeria</t>
  </si>
  <si>
    <t>Armenia</t>
  </si>
  <si>
    <t>Year</t>
  </si>
  <si>
    <t>China</t>
  </si>
  <si>
    <t>India</t>
  </si>
  <si>
    <t>Brazil</t>
  </si>
  <si>
    <t>Russia</t>
  </si>
  <si>
    <t>Colombia</t>
  </si>
  <si>
    <t>Mexico</t>
  </si>
  <si>
    <t>Mongolia</t>
  </si>
  <si>
    <t>South Africa</t>
  </si>
  <si>
    <t>Turkey</t>
  </si>
  <si>
    <t>Table 1.0: Emissions Factors by Country</t>
  </si>
  <si>
    <t>Country</t>
  </si>
  <si>
    <t>Unit</t>
  </si>
  <si>
    <t>GHG</t>
  </si>
  <si>
    <t>kg CO2e/kWh</t>
  </si>
  <si>
    <t>Table 2.0 Electricity Generation from the U.S. Energy Information Agency (EIA) World Database by Country</t>
  </si>
  <si>
    <t xml:space="preserve">    Generation (billion Kwh)</t>
  </si>
  <si>
    <t>NA</t>
  </si>
  <si>
    <t>Report generated on: 02-05-2020 15:24:15</t>
  </si>
  <si>
    <t>Table 3.0 Emissions by Country</t>
  </si>
  <si>
    <t>Generation (billion kWh)</t>
  </si>
  <si>
    <t>GgCO2e</t>
  </si>
  <si>
    <t>GWP Used in the Inventory</t>
  </si>
  <si>
    <t>Sources:</t>
  </si>
  <si>
    <t>Pulido, A.D., N. Chaparro, S. Granados, E. Ortiz, A. Rojas, C.F. Torres, J.D. Turriago. 2020. Informe de Inventario Nactional de GEI de Colombia. Bogota, Colombia: Instituto de Hidrología, Meteorología y Estudios Ambientales (IDEAM) Programa de las Naciones Unidas para el Desarrollo (PNUD) and Clima Soluciones SAS para PNUD. https://unfccc.int/sites/default/files/resource/NIR_BUR2_Colombia.pdf</t>
  </si>
  <si>
    <t xml:space="preserve">Sources: </t>
  </si>
  <si>
    <t>MoEEFCC (Ministry of Environment, Forest and Climate Change, Government of India). 2018. India: Second Biennial Update Report to the United Nations Framework Convention on Climate Change. New Delhi, India: MoEEFCC. https://unfccc.int/sites/default/files/resource/INDIA%20SECOND%20BUR%20High%20Res.pdf</t>
  </si>
  <si>
    <t>CICC (Comision Intersecretarial de Cambio Climatico). 2018. Mexico Inventario Nacional de Emisiones de Cases y Compuestos de Efecto Invernadero 1990-2015. Mexico City, Mexico: Secretaría de Medio Ambiente y Recursos Naturales y Instituto Nacional de Ecología y Cambio Climático (INECC). https://www4.unfccc.int/sites/SubmissionsStaging/NationalReports/Documents/85321794_Mexico-NC6-BUR2-1-NIR_INEGYCEI%201990%20a%202015%20A.pdf</t>
  </si>
  <si>
    <t>Mogolia</t>
  </si>
  <si>
    <t>CCIU (Climate Change Implementing Unit). 2017. Mongolia’s National Inventory Report – 2017: Annex to Initial Biennial Update Report to United Nations Framework on Climate Change (UNFCCC). Ulaanbaatar, Mongolia: CCIU. https://unfccc.int/files/national_reports/non-annex_i_parties/ica/technical_analysis_of_burs/application/pdf/mongolia-bur1-1-nir.pdf</t>
  </si>
  <si>
    <t>Source:</t>
  </si>
  <si>
    <t>Department of Environmental Affairs South Africa 2000-2015. 2019. South Africa.Biennial update report (BUR). BUR 3. National inventory report. https://unfccc.int/documents/197918</t>
  </si>
  <si>
    <t>GWP Used in the Inventory*</t>
  </si>
  <si>
    <t>Source</t>
  </si>
  <si>
    <t>Electricity</t>
  </si>
  <si>
    <t>Total GHG</t>
  </si>
  <si>
    <t>lb CO2/MBtu</t>
  </si>
  <si>
    <t>kg CO2/MBtu</t>
  </si>
  <si>
    <t>g CH4/MBtu</t>
  </si>
  <si>
    <t>kg CO2e/MBtu</t>
  </si>
  <si>
    <t>g N2O/MBtu</t>
  </si>
  <si>
    <t>Natural gas</t>
  </si>
  <si>
    <t>Propane</t>
  </si>
  <si>
    <t>Fuel Oil (No. 2)</t>
  </si>
  <si>
    <t>Diesel</t>
  </si>
  <si>
    <t>Fuel Oil (No. 4)</t>
  </si>
  <si>
    <t>Fuel Oil (No. 5 and No. 6)</t>
  </si>
  <si>
    <t>Coal (anthracite)</t>
  </si>
  <si>
    <t>Coal (bituminous)</t>
  </si>
  <si>
    <t>Coke</t>
  </si>
  <si>
    <t>Wood</t>
  </si>
  <si>
    <t>Kerosene</t>
  </si>
  <si>
    <t>Fuel Oil (No.1)</t>
  </si>
  <si>
    <t>District Steam</t>
  </si>
  <si>
    <t>District Hot Water</t>
  </si>
  <si>
    <t>District Chilled Water - Electric</t>
  </si>
  <si>
    <t>District Chilled Water - Absorption</t>
  </si>
  <si>
    <t>District Chilled Water - Engine</t>
  </si>
  <si>
    <t>AKGD</t>
  </si>
  <si>
    <t>AKMS</t>
  </si>
  <si>
    <t>AZNM</t>
  </si>
  <si>
    <t>CAMX</t>
  </si>
  <si>
    <t>ERCT</t>
  </si>
  <si>
    <t>FRCC</t>
  </si>
  <si>
    <t>HIMS</t>
  </si>
  <si>
    <t>HIOA</t>
  </si>
  <si>
    <t>MROW</t>
  </si>
  <si>
    <t>NEWE</t>
  </si>
  <si>
    <t>NWPP</t>
  </si>
  <si>
    <t>NYCW</t>
  </si>
  <si>
    <t>NYLI</t>
  </si>
  <si>
    <t>NYUP</t>
  </si>
  <si>
    <t>RFCE</t>
  </si>
  <si>
    <t>RFCM</t>
  </si>
  <si>
    <t>RFCW</t>
  </si>
  <si>
    <t>RMPA</t>
  </si>
  <si>
    <t>SPNO</t>
  </si>
  <si>
    <t>SPSO</t>
  </si>
  <si>
    <t>SRMV</t>
  </si>
  <si>
    <t>SRMW</t>
  </si>
  <si>
    <t>SRSO</t>
  </si>
  <si>
    <t>SRTV</t>
  </si>
  <si>
    <t>SRVC</t>
  </si>
  <si>
    <t>Note: If the most recent heat content could be found (at EIA), heat content from EIA was used, which was updated in June 2019. If not, heat content from the Energy Star PortfolioManager Technical Reference: Thermal Energy Conversions was used, which was updated in Aug 2015, some of the heat contecnt numbers could also be found in EPA published Emission Factors for GHG inventories, which was updated in March 2018. See source for each line for more details.</t>
  </si>
  <si>
    <t>Fuel Type</t>
  </si>
  <si>
    <t>Amount</t>
  </si>
  <si>
    <t>Fuel Unit</t>
  </si>
  <si>
    <t>Conversion to kWh</t>
  </si>
  <si>
    <t>Conversion to kBtu</t>
  </si>
  <si>
    <t>GJ</t>
  </si>
  <si>
    <t>https://www.rapidtables.com/convert/energy/index.html</t>
  </si>
  <si>
    <t>kBtu</t>
  </si>
  <si>
    <t>kWh</t>
  </si>
  <si>
    <t>MBtu/MMBtu</t>
  </si>
  <si>
    <t>MWh</t>
  </si>
  <si>
    <t>Natural Gas</t>
  </si>
  <si>
    <t>ccf</t>
  </si>
  <si>
    <t>https://www.eia.gov/tools/faqs/faq.php?id=45&amp;t=8</t>
  </si>
  <si>
    <t>cf</t>
  </si>
  <si>
    <t>https://www.eia.gov/tools/faqs/faq.php?id=45&amp;t=9</t>
  </si>
  <si>
    <t>cm</t>
  </si>
  <si>
    <t>https://www.metric-conversions.org/volume/cubic-feet-to-cubic-meters.htm</t>
  </si>
  <si>
    <t>kcf</t>
  </si>
  <si>
    <t>https://www.eia.gov/tools/faqs/faq.php?id=45&amp;t=13</t>
  </si>
  <si>
    <t>Mcf</t>
  </si>
  <si>
    <t>https://www.eia.gov/tools/faqs/faq.php?id=45&amp;t=15</t>
  </si>
  <si>
    <t>therms</t>
  </si>
  <si>
    <t>https://www.eia.gov/tools/faqs/faq.php?id=45&amp;t=16</t>
  </si>
  <si>
    <t>https://portfoliomanager.energystar.gov/pdf/reference/Thermal%20Conversions.pdf</t>
  </si>
  <si>
    <t>Gallons (UK)</t>
  </si>
  <si>
    <t>https://www.unitconverters.net/volume-converter.html</t>
  </si>
  <si>
    <t>Gallons (US)</t>
  </si>
  <si>
    <t>https://www.eia.gov/energyexplained/units-and-calculators/</t>
  </si>
  <si>
    <t>Liters</t>
  </si>
  <si>
    <t>Propane factos assumr that propane is entered in a liquid form if entered in gallons or liters and in a gaseous form when entered in cf, ccf, or kcf.</t>
  </si>
  <si>
    <t>https://portfoliomanager.energystar.gov/pdf/reference/Thermal%20Conversions.pdf, https://www.epa.gov/sites/production/files/2018-03/documents/emission-factors_mar_2018_0.pdf</t>
  </si>
  <si>
    <t>kg</t>
  </si>
  <si>
    <t>kLbs.</t>
  </si>
  <si>
    <t>Lbs.</t>
  </si>
  <si>
    <t>MLbs.</t>
  </si>
  <si>
    <t>District Chilled Water</t>
  </si>
  <si>
    <t>ton hours</t>
  </si>
  <si>
    <t>Metric Tonnes</t>
  </si>
  <si>
    <t>Tons</t>
  </si>
  <si>
    <t>Mbtu/MMBtu</t>
  </si>
  <si>
    <t>Additional International</t>
  </si>
  <si>
    <t xml:space="preserve">International </t>
  </si>
  <si>
    <t>U.S.</t>
  </si>
  <si>
    <t>International</t>
  </si>
  <si>
    <t>Fuel</t>
  </si>
  <si>
    <t>NOx</t>
  </si>
  <si>
    <t>SO2</t>
  </si>
  <si>
    <t>Electric - Grid</t>
  </si>
  <si>
    <t>Electric - Solar</t>
  </si>
  <si>
    <t>Electric - Wind</t>
  </si>
  <si>
    <t>District Chilled Water - Other</t>
  </si>
  <si>
    <t>Fuel Oil (No. 1)</t>
  </si>
  <si>
    <t>Unit: kg CO2e/MBtu</t>
  </si>
  <si>
    <t>Unit: kg CO2e/kWh</t>
  </si>
  <si>
    <t>subregion</t>
  </si>
  <si>
    <t>CO2e</t>
  </si>
  <si>
    <t>unit: kg/kWh</t>
  </si>
  <si>
    <t>MROE</t>
  </si>
  <si>
    <t>explain the unit</t>
  </si>
  <si>
    <r>
      <t xml:space="preserve">Unit: kg </t>
    </r>
    <r>
      <rPr>
        <b/>
        <sz val="11"/>
        <color rgb="FFFF0000"/>
        <rFont val="Calibri (Body)"/>
      </rPr>
      <t>CO2e</t>
    </r>
    <r>
      <rPr>
        <b/>
        <sz val="11"/>
        <color theme="1"/>
        <rFont val="Calibri"/>
        <family val="2"/>
        <scheme val="minor"/>
      </rPr>
      <t>/MBtu using IPCC AR4 GWP-100</t>
    </r>
  </si>
  <si>
    <t>Source: United States Environmental Protection Agency (EPA). 2020. “Emissions &amp; Generation Resource Integrated Database (eGRID), 2018.” Washington, DC: Office of Atmospheric Programs, Clean Air Markets Division. Available from EPA’s eGRID web site: https://www.epa.gov/energy/egrid.</t>
  </si>
  <si>
    <t>eGrid 2018</t>
  </si>
  <si>
    <t>eGRID subregion annual CO2 total output emission rate (lb/MWh)</t>
  </si>
  <si>
    <t>eGRID subregion annual CH4 total output emission rate (lb/MWh)</t>
  </si>
  <si>
    <t>eGRID subregion annual N2O total output emission rate (lb/MWh)</t>
  </si>
  <si>
    <t>eGRID subregion annual CO2 equivalent total output emission rate (lb/MWh)</t>
  </si>
  <si>
    <t>eGRID subregion annual SO2 total output emission rate (lb/MWh)</t>
  </si>
  <si>
    <t>eGRID subregion ozone season NOx total output emission rate (lb/MWh)</t>
  </si>
  <si>
    <t>Conversion Factors</t>
  </si>
  <si>
    <t>2.2046 lb</t>
  </si>
  <si>
    <t>1 kilogram (kg)</t>
  </si>
  <si>
    <t>CO2 (kg/kWh)</t>
  </si>
  <si>
    <t>CH4 (kg/kWh)</t>
  </si>
  <si>
    <t>N2O (kg/kWh)</t>
  </si>
  <si>
    <t>CO2e (kg/kWh)</t>
  </si>
  <si>
    <t>NOx (kg/kWh)</t>
  </si>
  <si>
    <t>SO2 (kg/kWh)</t>
  </si>
  <si>
    <t>CO2 (kgCO2e/kWh)</t>
  </si>
  <si>
    <t>CH4 (kgCO2e/kWh)</t>
  </si>
  <si>
    <t>N2O (kgCO2e/kWh)</t>
  </si>
  <si>
    <t>CO2e (kgCO2e/kWh)</t>
  </si>
  <si>
    <t>unit: kgCO2e/kWh</t>
  </si>
  <si>
    <t xml:space="preserve">Conversion </t>
  </si>
  <si>
    <t>assumed to equal to fuel oil</t>
  </si>
  <si>
    <t>Conversion</t>
  </si>
  <si>
    <t>a</t>
  </si>
  <si>
    <t>Source: a https://www.eia.gov/tools/faqs/faq.php?id=73&amp;t=11</t>
  </si>
  <si>
    <t>b</t>
  </si>
  <si>
    <t>b. https://www.epa.gov/sites/production/files/2018-03/documents/emission-factors_mar_2018_0.pdf</t>
  </si>
  <si>
    <t xml:space="preserve">c </t>
  </si>
  <si>
    <t xml:space="preserve">d </t>
  </si>
  <si>
    <t>d. https://www.eia.gov/environment/emissions/co2_vol_mass.php</t>
  </si>
  <si>
    <t>e</t>
  </si>
  <si>
    <t>c. https://www.eia.gov/environment/emissions/archive/coefficients.php</t>
  </si>
  <si>
    <t>e. https://obamawhitehouse.archives.gov/sites/default/files/federal_greenhouse_gas_accounting_and_reporting_guidance_technical_support_document.pdf</t>
  </si>
  <si>
    <t>1 gCH4</t>
  </si>
  <si>
    <t>25gCO2e</t>
  </si>
  <si>
    <t>298gCO2e</t>
  </si>
  <si>
    <t>1 gN2O</t>
  </si>
  <si>
    <t>GWP based on 100-year time horizon.
Source: Intergovernmental Panel on Climate Change (IPCC). 2007.Climate Change 2007: The Physical Science Basis. Contribution of Working Group I to the Fourth Assessment Report of the Intergovernmental Panel on Climate Change. S. Solomon, D. Qin, M. Manning, Z. Chen, M. Marquis, K.B. Averyt, M. Tignor, and H.L. Miller (eds.). Cambridge, United Kingdom: Cambridge University Press.</t>
  </si>
  <si>
    <t>Global Warming Potential Factor</t>
  </si>
  <si>
    <t>Annual Net emissions/removals in kt</t>
  </si>
  <si>
    <t xml:space="preserve"> </t>
  </si>
  <si>
    <t>Gas</t>
  </si>
  <si>
    <t>CH₄</t>
  </si>
  <si>
    <t>CO₂</t>
  </si>
  <si>
    <t>N₂O</t>
  </si>
  <si>
    <t>1.A.1.a  Public Electricity and Heat Production</t>
  </si>
  <si>
    <t>Belarus</t>
  </si>
  <si>
    <t>European Union (Convention)</t>
  </si>
  <si>
    <t>European Union (KP)</t>
  </si>
  <si>
    <t>Kazakhstan</t>
  </si>
  <si>
    <t>Monaco</t>
  </si>
  <si>
    <t>Norway</t>
  </si>
  <si>
    <t>Russian Federation</t>
  </si>
  <si>
    <t>Switzerland</t>
  </si>
  <si>
    <t>United Kingdom of Great Britain and Northern Ireland</t>
  </si>
  <si>
    <t>United States of America</t>
  </si>
  <si>
    <t>Source: UNFCCC GHG Data Interface. Report produced on Wednesday, 7 October 2020, 16:47:16 GMT-7</t>
  </si>
  <si>
    <t>Year 2018</t>
  </si>
  <si>
    <t>kt</t>
  </si>
  <si>
    <t>Electricity Generation</t>
  </si>
  <si>
    <t>billion kWh</t>
  </si>
  <si>
    <t>Annual Net Electricity generation in billion kWh</t>
  </si>
  <si>
    <t>Year 2017</t>
  </si>
  <si>
    <t>Query results for — Party: Australia and 44 other(s) | Year: 2018, 2017 | Category: 1.A.1.a  Public Electricity and Heat Production | Classification: Total for category | Type of value: Net emissions/removals | Gas: CO₂ and 2 other(s) | Unit: kt</t>
  </si>
  <si>
    <t>Calculated Electricity Emission Factors</t>
  </si>
  <si>
    <t>Emission Factors</t>
  </si>
  <si>
    <t>kg CO2/kWh</t>
  </si>
  <si>
    <t>GHG (kgCO2e/kWh)</t>
  </si>
  <si>
    <t xml:space="preserve">Source: U.S. Energy Information Agency (EIA). International Electricity. https://www.eia.gov/international/data/world/electricity/electricity-generation. Report generated on: 10-26-2020 15:08:00  </t>
  </si>
  <si>
    <t>Note</t>
  </si>
  <si>
    <t>Gg</t>
  </si>
  <si>
    <t>Gg CO2e</t>
  </si>
  <si>
    <t xml:space="preserve">Gg </t>
  </si>
  <si>
    <t>Source: Calculated based on data in Table 2.0 and 3.0 if not noted otherwise</t>
  </si>
  <si>
    <t>CURB Grid Emission Factor Database. 2016</t>
  </si>
  <si>
    <t>CURB Grid Emission Factor Database. 2017</t>
  </si>
  <si>
    <t>AR4</t>
  </si>
  <si>
    <t>Ministry of Environment of Chile. 2018. "Third Biennial Report of Chile Update on Climate Change. National Inventory Report: 1990-2016". https://unfccc.int/sites/default/files/resource/2018_NIR_CL.pdf</t>
  </si>
  <si>
    <t>Secretariat of Environment and Sustainable Development of the Nation. 2019. 
National Inventory Report of the Third Biennial Update Report of the Argentine Republic to the
United Nations Framework Convention for Climate Change (UNFCCC). (in Spanish) https://unfccc.int/sites/default/files/resource/92814035_Argentina-BUR3-1-INFORME%20NACIONAL%20DE%20INVENTARIO%20DE%20GEI%20DE%20LA%20REPUBLICA%20ARGENTINA.pdf</t>
  </si>
  <si>
    <t>Viet Nam Publishing House of Natural Resources, Environment and Cartograohy. 2019. The Third National Communication of Vietnam to the UNFCCC. https://unfccc.int/sites/default/files/resource/Viet%20Nam%20-%20NC3%20resubmission%2020%2004%202019_0.pdf</t>
  </si>
  <si>
    <t>Egyptian Environmental Affairs Agency. 2016. "Egypt Third National Communication under the UNDCCC". https://unfccc.int/sites/default/files/resource/GHGI%20chapter%20.pdf</t>
  </si>
  <si>
    <t>National Environment Agency. "Singapore’s Fourth National Communication and Third Biennial Update Report Under The United Nations Framework Convention On Climate Change"
2018. https://unfccc.int/sites/default/files/resource/067382541_Singapore-NC4-BUR3-1-Singapore%20Fourth%20National%20Communication%20and%20Third%20Biennia.pdf</t>
  </si>
  <si>
    <t>Gf</t>
  </si>
  <si>
    <t>Guatemala. 2012. "Second National Communication on Climate Change. National Inventory of Emissions and Absorption of Gases Greenhouse effect Base Year: 2005". https://unfccc.int/sites/default/files/resource/Inventory_GHG_Guatemala_2005_submitted.pdf</t>
  </si>
  <si>
    <t>Malaysia Ministry of Energy. 2018. "Malaysia’s Third National Communication and Second Biennial Update Report submitted to the United Nations Framework Convention on Climate Change" https://unfccc.int/sites/default/files/resource/Malaysia%20NC3%20BUR2_final%20high%20res.pdf</t>
  </si>
  <si>
    <t>Algeria. 2010. "National inventory of greenhouse gas emissions for the year 2000". (in French) https://unfccc.int/sites/default/files/resource/Algeria_GHG%20Inventory.pdf</t>
  </si>
  <si>
    <t>Armenia's Ministry of Environment. 2020. "Armenia's 4th National Communication in Climate Change under the UNFCCC". https://unfccc.int/sites/default/files/resource/NC4_Armenia_.pdf</t>
  </si>
  <si>
    <t>Republic of Indonesia. 2017. "Indonesia Third National Communication under the UNFCCC." https://unfccc.int/sites/default/files/resource/8360571_Indonesia-NC3-2-Third%20National%20Communication%20-%20Indonesia%20-%20editorial%20refinement%2013022018.pdf</t>
  </si>
  <si>
    <t>Uruguay. 2016. "Fourth National Communication to the UNFCCC." (in Spanish) https://unfccc.int/sites/default/files/resource/updated%20GHG%20Inventory%20Uruguay_0.pdf</t>
  </si>
  <si>
    <t>Source: If not noted otherwise, all come from U.S. EIA. 2020. “International Electricity.” https://www.eia.gov/international/data/world/electricity/electricity-generation</t>
  </si>
  <si>
    <t xml:space="preserve">Office of Environment. 2019. "National Inventory Report 2019 under the United Nations Framework Convention on Climate Change and under the Kyoto Protocol: Liechtenstein’s Greenhouse Gas Inventory 1990 - 2017". https://unfccc.int/documents/194897
</t>
  </si>
  <si>
    <t>GHG (kg CO2e)</t>
  </si>
  <si>
    <t>Table 1. U.S.</t>
  </si>
  <si>
    <t>kg/TJ</t>
  </si>
  <si>
    <t>couldn't find in IPCC. Use U.S. numbers</t>
  </si>
  <si>
    <t>Table 2. International</t>
  </si>
  <si>
    <t>use U.S. average eGrid emission factors*1.1(transmission loss adjustment factor)/0.8(coefficient of performance of the cooling plant)</t>
  </si>
  <si>
    <t xml:space="preserve">Source: IPCC. 2006. “2006 IPCC Guidelines for National Greenhouse Gas Inventories. https://www.ipcc-nggip.iges.or.jp/public/2006gl/ </t>
  </si>
  <si>
    <t>converstion</t>
  </si>
  <si>
    <t>kg/kWh</t>
  </si>
  <si>
    <t>Total GHG (kgCO2e/kWh)</t>
  </si>
  <si>
    <t>Unit: kg/kWh unless otherwise noted</t>
  </si>
  <si>
    <t>US</t>
  </si>
  <si>
    <t>Calculation</t>
  </si>
  <si>
    <t>Conversion from kt to ktCO2e using AR4 100 year GWP</t>
  </si>
  <si>
    <t xml:space="preserve">Building Efficiency Targeting Tool for Energy Retrofits (BETTER) </t>
  </si>
  <si>
    <t>Greenhouse Gas (GHG) Emissions V.1.0</t>
  </si>
  <si>
    <t>Prepared November 18, 2020</t>
  </si>
  <si>
    <r>
      <t>Total emissions include direct emissions and indirect emissions, which quantify carbon dioxide (CO</t>
    </r>
    <r>
      <rPr>
        <vertAlign val="subscript"/>
        <sz val="12"/>
        <color theme="1"/>
        <rFont val="Times New Roman"/>
        <family val="1"/>
      </rPr>
      <t>2</t>
    </r>
    <r>
      <rPr>
        <sz val="12"/>
        <color theme="1"/>
        <rFont val="Times New Roman"/>
        <family val="1"/>
      </rPr>
      <t>), methane (CH</t>
    </r>
    <r>
      <rPr>
        <vertAlign val="subscript"/>
        <sz val="12"/>
        <color theme="1"/>
        <rFont val="Times New Roman"/>
        <family val="1"/>
      </rPr>
      <t>4</t>
    </r>
    <r>
      <rPr>
        <sz val="12"/>
        <color theme="1"/>
        <rFont val="Times New Roman"/>
        <family val="1"/>
      </rPr>
      <t>), and nitrous oxide (N</t>
    </r>
    <r>
      <rPr>
        <vertAlign val="subscript"/>
        <sz val="12"/>
        <color theme="1"/>
        <rFont val="Times New Roman"/>
        <family val="1"/>
      </rPr>
      <t>2</t>
    </r>
    <r>
      <rPr>
        <sz val="12"/>
        <color theme="1"/>
        <rFont val="Times New Roman"/>
        <family val="1"/>
      </rPr>
      <t xml:space="preserve">0) emissions. </t>
    </r>
  </si>
  <si>
    <r>
      <t>•</t>
    </r>
    <r>
      <rPr>
        <sz val="7"/>
        <color theme="1"/>
        <rFont val="Times New Roman"/>
        <family val="1"/>
      </rPr>
      <t xml:space="preserve">       </t>
    </r>
    <r>
      <rPr>
        <sz val="12"/>
        <color theme="1"/>
        <rFont val="Times New Roman"/>
        <family val="1"/>
      </rPr>
      <t>Direct emissions are emissions from fuels that are directly burned at the building, for example, natural gas combusted to heat the building.</t>
    </r>
  </si>
  <si>
    <r>
      <t>•</t>
    </r>
    <r>
      <rPr>
        <sz val="7"/>
        <color theme="1"/>
        <rFont val="Times New Roman"/>
        <family val="1"/>
      </rPr>
      <t xml:space="preserve">       </t>
    </r>
    <r>
      <rPr>
        <sz val="12"/>
        <color theme="1"/>
        <rFont val="Times New Roman"/>
        <family val="1"/>
      </rPr>
      <t>Indirect emissions are emissions associated with energy purchased from a utility, for example, emissions from electricity generation.</t>
    </r>
  </si>
  <si>
    <t xml:space="preserve">Both direct emissions and indirect emissions are calculated by multiplying the site energy values by emission factors. </t>
  </si>
  <si>
    <r>
      <t xml:space="preserve">For direct emissions, BETTER uses custom factors for the United States </t>
    </r>
    <r>
      <rPr>
        <sz val="12"/>
        <color rgb="FF0432FF"/>
        <rFont val="Times New Roman"/>
        <family val="1"/>
      </rPr>
      <t>(see Tab: 3. Fossil and 4. Fossil Source Table 1 US).</t>
    </r>
    <r>
      <rPr>
        <sz val="12"/>
        <color rgb="FFFF0000"/>
        <rFont val="Times New Roman"/>
        <family val="1"/>
      </rPr>
      <t xml:space="preserve"> </t>
    </r>
    <r>
      <rPr>
        <sz val="12"/>
        <color theme="1"/>
        <rFont val="Times New Roman"/>
        <family val="1"/>
      </rPr>
      <t xml:space="preserve">We use Intergovernmental Panel on Climate Change (IPCC) default emission factors for other countries </t>
    </r>
    <r>
      <rPr>
        <sz val="12"/>
        <color rgb="FF0432FF"/>
        <rFont val="Times New Roman"/>
        <family val="1"/>
      </rPr>
      <t>(see Tab: 3. Fossil and 4. Fossil Source Table 2 International).</t>
    </r>
  </si>
  <si>
    <r>
      <t>Direct Emissions = Direct CO</t>
    </r>
    <r>
      <rPr>
        <vertAlign val="subscript"/>
        <sz val="12"/>
        <color theme="1"/>
        <rFont val="Times New Roman"/>
        <family val="1"/>
      </rPr>
      <t>2</t>
    </r>
    <r>
      <rPr>
        <sz val="12"/>
        <color theme="1"/>
        <rFont val="Times New Roman"/>
        <family val="1"/>
      </rPr>
      <t xml:space="preserve"> emissions + Direct N</t>
    </r>
    <r>
      <rPr>
        <vertAlign val="subscript"/>
        <sz val="12"/>
        <color theme="1"/>
        <rFont val="Times New Roman"/>
        <family val="1"/>
      </rPr>
      <t>2</t>
    </r>
    <r>
      <rPr>
        <sz val="12"/>
        <color theme="1"/>
        <rFont val="Times New Roman"/>
        <family val="1"/>
      </rPr>
      <t>O emissions + Direct CH</t>
    </r>
    <r>
      <rPr>
        <vertAlign val="subscript"/>
        <sz val="12"/>
        <color theme="1"/>
        <rFont val="Times New Roman"/>
        <family val="1"/>
      </rPr>
      <t>4</t>
    </r>
    <r>
      <rPr>
        <sz val="12"/>
        <color theme="1"/>
        <rFont val="Times New Roman"/>
        <family val="1"/>
      </rPr>
      <t xml:space="preserve"> emissions</t>
    </r>
  </si>
  <si>
    <t xml:space="preserve">    = </t>
  </si>
  <si>
    <t>where fuel includes coal, coke, diesel, fuel oil (No.1, 2, 4, 5, and 6), kerosene, natural gas, propane, and wood.</t>
  </si>
  <si>
    <r>
      <t xml:space="preserve">For indirect emissions, particularly emissions associated with the generation of electricity, we collect country-specific emission factors for the following countries </t>
    </r>
    <r>
      <rPr>
        <sz val="12"/>
        <color rgb="FF0432FF"/>
        <rFont val="Times New Roman"/>
        <family val="1"/>
      </rPr>
      <t xml:space="preserve">(see Tab: 1. Electricity Table 1. U.S.). </t>
    </r>
    <r>
      <rPr>
        <sz val="12"/>
        <color theme="1"/>
        <rFont val="Times New Roman"/>
        <family val="1"/>
      </rPr>
      <t xml:space="preserve">For the United States, emission factors of electricity are also regionalized to account for differences within the country </t>
    </r>
    <r>
      <rPr>
        <sz val="12"/>
        <color rgb="FF0432FF"/>
        <rFont val="Times New Roman"/>
        <family val="1"/>
      </rPr>
      <t>(see Tab: 1. Electricity Table 2. International).</t>
    </r>
  </si>
  <si>
    <r>
      <t>Indirect Emissions = Indirect CO</t>
    </r>
    <r>
      <rPr>
        <vertAlign val="subscript"/>
        <sz val="12"/>
        <color theme="1"/>
        <rFont val="Times New Roman"/>
        <family val="1"/>
      </rPr>
      <t>2</t>
    </r>
    <r>
      <rPr>
        <sz val="12"/>
        <color theme="1"/>
        <rFont val="Times New Roman"/>
        <family val="1"/>
      </rPr>
      <t xml:space="preserve"> emissions + Indirect N</t>
    </r>
    <r>
      <rPr>
        <vertAlign val="subscript"/>
        <sz val="12"/>
        <color theme="1"/>
        <rFont val="Times New Roman"/>
        <family val="1"/>
      </rPr>
      <t>2</t>
    </r>
    <r>
      <rPr>
        <sz val="12"/>
        <color theme="1"/>
        <rFont val="Times New Roman"/>
        <family val="1"/>
      </rPr>
      <t>O emissions + Indirect CH</t>
    </r>
    <r>
      <rPr>
        <vertAlign val="subscript"/>
        <sz val="12"/>
        <color theme="1"/>
        <rFont val="Times New Roman"/>
        <family val="1"/>
      </rPr>
      <t>4</t>
    </r>
    <r>
      <rPr>
        <sz val="12"/>
        <color theme="1"/>
        <rFont val="Times New Roman"/>
        <family val="1"/>
      </rPr>
      <t xml:space="preserve"> emissions</t>
    </r>
  </si>
  <si>
    <t xml:space="preserve">       = </t>
  </si>
  <si>
    <t>where energy includes district heating, district cooling, and electricity.</t>
  </si>
  <si>
    <t>Calculating Direct Emissions:</t>
  </si>
  <si>
    <r>
      <t>·</t>
    </r>
    <r>
      <rPr>
        <sz val="7"/>
        <color rgb="FF000000"/>
        <rFont val="Times New Roman"/>
        <family val="1"/>
      </rPr>
      <t xml:space="preserve">      </t>
    </r>
    <r>
      <rPr>
        <sz val="12"/>
        <color theme="1"/>
        <rFont val="Times New Roman"/>
        <family val="1"/>
      </rPr>
      <t xml:space="preserve">All billed or metered site energy consumption for each fuel is converted from native units to thousand British thermal units (kBtu) or kilowatt hours (kWh). Fuels that are delivered, billed, or measured in mass or volume units (i.e., cubic feet, tons, gallons) are converted to energy using standard heat content factors </t>
    </r>
    <r>
      <rPr>
        <sz val="12"/>
        <color rgb="FF0432FF"/>
        <rFont val="Times New Roman"/>
        <family val="1"/>
      </rPr>
      <t xml:space="preserve">(see Tab Fuel Conversion Factors). </t>
    </r>
    <r>
      <rPr>
        <sz val="12"/>
        <color rgb="FF0432FF"/>
        <rFont val="MS Mincho"/>
        <family val="1"/>
        <charset val="128"/>
      </rPr>
      <t> </t>
    </r>
  </si>
  <si>
    <t xml:space="preserve">·      Total site energy for each fuel is multiplied by CO2-equivalent factors that incorporates the IPCC Fourth Assessment Report’s 100-year global warming potential of each gas (CO2=1, CH4=25, and N2O= 298)[1] </t>
  </si>
  <si>
    <r>
      <t>o</t>
    </r>
    <r>
      <rPr>
        <sz val="7"/>
        <color theme="1"/>
        <rFont val="Times New Roman"/>
        <family val="1"/>
      </rPr>
      <t xml:space="preserve">   </t>
    </r>
    <r>
      <rPr>
        <sz val="12"/>
        <color theme="1"/>
        <rFont val="Times New Roman"/>
        <family val="1"/>
      </rPr>
      <t>In the U.S., these factors are computed at the national level.</t>
    </r>
  </si>
  <si>
    <r>
      <t>o</t>
    </r>
    <r>
      <rPr>
        <sz val="7"/>
        <color theme="1"/>
        <rFont val="Times New Roman"/>
        <family val="1"/>
      </rPr>
      <t xml:space="preserve">   </t>
    </r>
    <r>
      <rPr>
        <sz val="12"/>
        <color theme="1"/>
        <rFont val="Times New Roman"/>
        <family val="1"/>
      </rPr>
      <t>In other countries, these factors are IPCC default numbers. If an IPCC default can’t be found, the U.S. emission factor for that fuel is used.</t>
    </r>
  </si>
  <si>
    <r>
      <t>·</t>
    </r>
    <r>
      <rPr>
        <sz val="7"/>
        <color rgb="FF000000"/>
        <rFont val="Times New Roman"/>
        <family val="1"/>
      </rPr>
      <t xml:space="preserve">      </t>
    </r>
    <r>
      <rPr>
        <sz val="12"/>
        <color theme="1"/>
        <rFont val="Times New Roman"/>
        <family val="1"/>
      </rPr>
      <t xml:space="preserve">Direct emissions are summed together across all fuels. </t>
    </r>
    <r>
      <rPr>
        <sz val="12"/>
        <color theme="1"/>
        <rFont val="MS Mincho"/>
        <family val="1"/>
        <charset val="128"/>
      </rPr>
      <t> </t>
    </r>
  </si>
  <si>
    <r>
      <t>·</t>
    </r>
    <r>
      <rPr>
        <sz val="7"/>
        <color rgb="FF000000"/>
        <rFont val="Times New Roman"/>
        <family val="1"/>
      </rPr>
      <t xml:space="preserve">      </t>
    </r>
    <r>
      <rPr>
        <sz val="12"/>
        <color theme="1"/>
        <rFont val="Times New Roman"/>
        <family val="1"/>
      </rPr>
      <t xml:space="preserve">Direct emissions are added to indirect emissions to calculate the total GHG emissions. </t>
    </r>
    <r>
      <rPr>
        <sz val="12"/>
        <color theme="1"/>
        <rFont val="MS Mincho"/>
        <family val="1"/>
        <charset val="128"/>
      </rPr>
      <t> </t>
    </r>
  </si>
  <si>
    <t>Calculating Indirect Emissions:</t>
  </si>
  <si>
    <t xml:space="preserve">District Heating and Cooling: </t>
  </si>
  <si>
    <r>
      <t>·</t>
    </r>
    <r>
      <rPr>
        <sz val="7"/>
        <color rgb="FF000000"/>
        <rFont val="Times New Roman"/>
        <family val="1"/>
      </rPr>
      <t xml:space="preserve">      </t>
    </r>
    <r>
      <rPr>
        <sz val="12"/>
        <color theme="1"/>
        <rFont val="Times New Roman"/>
        <family val="1"/>
      </rPr>
      <t xml:space="preserve">All billed or metered site energy consumption for each fuel is converted from native units to kBtu or kWh. Fuels that are delivered, billed, or measured in mass or volume units (i.e., pounds of steam) are converted to energy using standard heat content factors </t>
    </r>
    <r>
      <rPr>
        <sz val="12"/>
        <color rgb="FF0432FF"/>
        <rFont val="Times New Roman"/>
        <family val="1"/>
      </rPr>
      <t xml:space="preserve">(see Tab Fuel Conversion Factors). </t>
    </r>
    <r>
      <rPr>
        <sz val="12"/>
        <color rgb="FF0432FF"/>
        <rFont val="MS Mincho"/>
        <family val="1"/>
        <charset val="128"/>
      </rPr>
      <t> </t>
    </r>
  </si>
  <si>
    <t>·      Total site energy for each fuel is multiplied by CO2-equivalent factors that incorporates IPCC Fourth Assessment Report’s 100-year global warming potential of each gas (CO2=1, CH4=25, and N2O= 298)[2].</t>
  </si>
  <si>
    <t>o   In the U.S., these factors are computed at the national level, with the exception of electricity where these are regional factors according to the eGRID subregions.[3]  </t>
  </si>
  <si>
    <r>
      <t>o</t>
    </r>
    <r>
      <rPr>
        <sz val="7"/>
        <color theme="1"/>
        <rFont val="Times New Roman"/>
        <family val="1"/>
      </rPr>
      <t xml:space="preserve">   </t>
    </r>
    <r>
      <rPr>
        <sz val="12"/>
        <color theme="1"/>
        <rFont val="Times New Roman"/>
        <family val="1"/>
      </rPr>
      <t>In other countries, these factors are IPCC default numbers, with the exception of electricity where the factors are provided at the national level based on United Nations Framework Convention on Climate Change (UNFCCC) National Inventory Submission</t>
    </r>
    <r>
      <rPr>
        <vertAlign val="superscript"/>
        <sz val="12"/>
        <color theme="1"/>
        <rFont val="Times New Roman"/>
        <family val="1"/>
      </rPr>
      <t>[4]</t>
    </r>
    <r>
      <rPr>
        <sz val="12"/>
        <color theme="1"/>
        <rFont val="Times New Roman"/>
        <family val="1"/>
      </rPr>
      <t xml:space="preserve"> and electricity generation reported by the U.S. Energy Information Agency (EIA).</t>
    </r>
    <r>
      <rPr>
        <vertAlign val="superscript"/>
        <sz val="12"/>
        <color theme="1"/>
        <rFont val="Times New Roman"/>
        <family val="1"/>
      </rPr>
      <t>[5]</t>
    </r>
    <r>
      <rPr>
        <sz val="12"/>
        <color theme="1"/>
        <rFont val="Times New Roman"/>
        <family val="1"/>
      </rPr>
      <t xml:space="preserve"> </t>
    </r>
  </si>
  <si>
    <r>
      <t>·</t>
    </r>
    <r>
      <rPr>
        <sz val="7"/>
        <color rgb="FF000000"/>
        <rFont val="Times New Roman"/>
        <family val="1"/>
      </rPr>
      <t xml:space="preserve">      </t>
    </r>
    <r>
      <rPr>
        <sz val="12"/>
        <color theme="1"/>
        <rFont val="Times New Roman"/>
        <family val="1"/>
      </rPr>
      <t>Indirect emissions from district energy consumption are added to electric indirect emissions to compute total indirect emissions.</t>
    </r>
  </si>
  <si>
    <r>
      <t>·</t>
    </r>
    <r>
      <rPr>
        <sz val="7"/>
        <color rgb="FF000000"/>
        <rFont val="Times New Roman"/>
        <family val="1"/>
      </rPr>
      <t xml:space="preserve">      </t>
    </r>
    <r>
      <rPr>
        <sz val="12"/>
        <color theme="1"/>
        <rFont val="Times New Roman"/>
        <family val="1"/>
      </rPr>
      <t xml:space="preserve">Direct emissions are added to indirect emissions to calculate the total GHG emissions. </t>
    </r>
    <r>
      <rPr>
        <sz val="12"/>
        <color theme="1"/>
        <rFont val="MS Mincho"/>
        <family val="1"/>
        <charset val="128"/>
      </rPr>
      <t>  </t>
    </r>
  </si>
  <si>
    <t>Acknowledgments</t>
  </si>
  <si>
    <t>BETTER is made possible by support from the U.S. Department of Energy (DOE) Office of Energy Efficiency and Renewable Energy (EERE) Building Technologies Office (BTO).</t>
  </si>
  <si>
    <t>BETTER is being developed under Cooperative Research and Development Agreement (CRADA) No. FP00007338 between the Regents of the University of California Ernest Orlando Lawrence Berkeley National Laboratory, under its U.S. DOE Contract No. DE-AC02-05CH11231, and Johnson Controls, with assistance from ICF.</t>
  </si>
  <si>
    <r>
      <t>[1]</t>
    </r>
    <r>
      <rPr>
        <sz val="10"/>
        <color theme="1"/>
        <rFont val="Times New Roman"/>
        <family val="1"/>
      </rPr>
      <t xml:space="preserve"> IPCC. 2020. “Fourth Assessment Report.” https://www.ipcc.ch/assessment-report/ar4/</t>
    </r>
  </si>
  <si>
    <r>
      <t>[2]</t>
    </r>
    <r>
      <rPr>
        <sz val="10"/>
        <color theme="1"/>
        <rFont val="Calibri"/>
        <family val="2"/>
        <scheme val="minor"/>
      </rPr>
      <t xml:space="preserve"> </t>
    </r>
    <r>
      <rPr>
        <sz val="10"/>
        <color theme="1"/>
        <rFont val="Times New Roman"/>
        <family val="1"/>
      </rPr>
      <t>IPCC. 2020. “Fourth Assessment Report.” https://www.ipcc.ch/assessment-report/ar4/</t>
    </r>
  </si>
  <si>
    <r>
      <t>[3]</t>
    </r>
    <r>
      <rPr>
        <sz val="10"/>
        <color theme="1"/>
        <rFont val="Times New Roman"/>
        <family val="1"/>
      </rPr>
      <t xml:space="preserve"> U.S. Environmental Protection Agency (EPA). 2018. “Emission Factors for Greenhouse Gas Inventories.” Washington, D.C.: U.S. EPA. https://www.epa.gov/sites/production/files/2018-03/documents/emission-factors_mar_2018_0.pdf </t>
    </r>
  </si>
  <si>
    <t>[4] UNFCC. 2019. “National Inventory Submissions 2019.”</t>
  </si>
  <si>
    <t xml:space="preserve"> https://unfccc.int/process-and-meetings/transparency-and-reporting/reporting-and-review-under-the-convention/greenhouse-gas-inventories-annex-i-parties/national-inventory-submissions-2019</t>
  </si>
  <si>
    <r>
      <t>[5]</t>
    </r>
    <r>
      <rPr>
        <sz val="10"/>
        <color theme="1"/>
        <rFont val="Times New Roman"/>
        <family val="1"/>
      </rPr>
      <t xml:space="preserve"> U.S. EIA. 2020. “International Electricity.” https://www.eia.gov/international/data/world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</si>
</sst>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0.0000"/>
    <numFmt numFmtId="166" formatCode="0.00000"/>
    <numFmt numFmtId="167" formatCode="#,##0.000"/>
    <numFmt numFmtId="168" formatCode="0.000000000"/>
  </numFmts>
  <fonts count="35" x14ac:knownFonts="1">
    <font>
      <sz val="12"/>
      <color theme="1"/>
      <name val="Calibri"/>
      <family val="2"/>
      <scheme val="minor"/>
    </font>
    <font>
      <sz val="11"/>
      <name val="Calibri"/>
      <family val="2"/>
      <scheme val="minor"/>
    </font>
    <font>
      <b/>
      <sz val="12"/>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u/>
      <sz val="11"/>
      <color theme="10"/>
      <name val="Calibri"/>
      <family val="2"/>
      <scheme val="minor"/>
    </font>
    <font>
      <i/>
      <sz val="11"/>
      <color theme="1"/>
      <name val="Calibri"/>
      <family val="2"/>
      <scheme val="minor"/>
    </font>
    <font>
      <u/>
      <sz val="12"/>
      <color theme="10"/>
      <name val="Calibri"/>
      <family val="2"/>
      <scheme val="minor"/>
    </font>
    <font>
      <sz val="12"/>
      <color rgb="FF000000"/>
      <name val="Calibri"/>
      <family val="2"/>
      <scheme val="minor"/>
    </font>
    <font>
      <i/>
      <sz val="12"/>
      <color theme="1"/>
      <name val="Calibri"/>
      <family val="2"/>
      <scheme val="minor"/>
    </font>
    <font>
      <sz val="12"/>
      <color rgb="FFFF0000"/>
      <name val="Calibri"/>
      <family val="2"/>
      <scheme val="minor"/>
    </font>
    <font>
      <b/>
      <sz val="11"/>
      <color rgb="FFFF0000"/>
      <name val="Calibri (Body)"/>
    </font>
    <font>
      <b/>
      <sz val="11"/>
      <color theme="1"/>
      <name val="Arial"/>
      <family val="2"/>
    </font>
    <font>
      <sz val="11"/>
      <color theme="1"/>
      <name val="Arial"/>
      <family val="2"/>
    </font>
    <font>
      <b/>
      <sz val="11"/>
      <name val="Calibri"/>
      <family val="2"/>
    </font>
    <font>
      <sz val="8"/>
      <name val="Calibri"/>
      <family val="2"/>
      <scheme val="minor"/>
    </font>
    <font>
      <b/>
      <sz val="11"/>
      <color rgb="FFFF0000"/>
      <name val="Calibri"/>
      <family val="2"/>
      <scheme val="minor"/>
    </font>
    <font>
      <b/>
      <sz val="11"/>
      <color rgb="FF000000"/>
      <name val="Calibri"/>
      <family val="2"/>
      <scheme val="minor"/>
    </font>
    <font>
      <b/>
      <sz val="12"/>
      <color theme="1"/>
      <name val="Times New Roman"/>
      <family val="1"/>
    </font>
    <font>
      <sz val="12"/>
      <color theme="1"/>
      <name val="Times New Roman"/>
      <family val="1"/>
    </font>
    <font>
      <vertAlign val="subscript"/>
      <sz val="12"/>
      <color theme="1"/>
      <name val="Times New Roman"/>
      <family val="1"/>
    </font>
    <font>
      <sz val="7"/>
      <color theme="1"/>
      <name val="Times New Roman"/>
      <family val="1"/>
    </font>
    <font>
      <sz val="12"/>
      <color rgb="FF0432FF"/>
      <name val="Times New Roman"/>
      <family val="1"/>
    </font>
    <font>
      <sz val="12"/>
      <color rgb="FFFF0000"/>
      <name val="Times New Roman"/>
      <family val="1"/>
    </font>
    <font>
      <sz val="12"/>
      <color rgb="FF000000"/>
      <name val="Symbol"/>
      <charset val="2"/>
    </font>
    <font>
      <sz val="7"/>
      <color rgb="FF000000"/>
      <name val="Times New Roman"/>
      <family val="1"/>
    </font>
    <font>
      <sz val="12"/>
      <color rgb="FF0432FF"/>
      <name val="MS Mincho"/>
      <family val="1"/>
      <charset val="128"/>
    </font>
    <font>
      <sz val="12"/>
      <color theme="1"/>
      <name val="Courier New"/>
      <family val="1"/>
    </font>
    <font>
      <sz val="12"/>
      <color theme="1"/>
      <name val="MS Mincho"/>
      <family val="1"/>
      <charset val="128"/>
    </font>
    <font>
      <vertAlign val="superscript"/>
      <sz val="12"/>
      <color theme="1"/>
      <name val="Times New Roman"/>
      <family val="1"/>
    </font>
    <font>
      <vertAlign val="superscript"/>
      <sz val="10"/>
      <color theme="1"/>
      <name val="Times New Roman"/>
      <family val="1"/>
    </font>
    <font>
      <sz val="10"/>
      <color theme="1"/>
      <name val="Times New Roman"/>
      <family val="1"/>
    </font>
    <font>
      <vertAlign val="superscript"/>
      <sz val="10"/>
      <color theme="1"/>
      <name val="Calibri"/>
      <family val="2"/>
      <scheme val="minor"/>
    </font>
    <font>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diagonal/>
    </border>
    <border>
      <left style="thin">
        <color auto="1"/>
      </left>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bottom style="thin">
        <color auto="1"/>
      </bottom>
      <diagonal/>
    </border>
    <border>
      <left/>
      <right/>
      <top/>
      <bottom style="thin">
        <color auto="1"/>
      </bottom>
      <diagonal/>
    </border>
    <border>
      <left/>
      <right style="medium">
        <color indexed="64"/>
      </right>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s>
  <cellStyleXfs count="4">
    <xf numFmtId="0" fontId="0" fillId="0" borderId="0"/>
    <xf numFmtId="0" fontId="3" fillId="0" borderId="0"/>
    <xf numFmtId="0" fontId="6" fillId="0" borderId="0" applyNumberFormat="0" applyFill="0" applyBorder="0" applyAlignment="0" applyProtection="0"/>
    <xf numFmtId="0" fontId="8" fillId="0" borderId="0" applyNumberFormat="0" applyFill="0" applyBorder="0" applyAlignment="0" applyProtection="0"/>
  </cellStyleXfs>
  <cellXfs count="158">
    <xf numFmtId="0" fontId="0" fillId="0" borderId="0" xfId="0"/>
    <xf numFmtId="164" fontId="0" fillId="0" borderId="0" xfId="0" applyNumberFormat="1"/>
    <xf numFmtId="0" fontId="2" fillId="0" borderId="0" xfId="0" applyFont="1"/>
    <xf numFmtId="0" fontId="8" fillId="0" borderId="0" xfId="3"/>
    <xf numFmtId="0" fontId="0" fillId="0" borderId="0" xfId="0" applyAlignment="1">
      <alignment vertical="center"/>
    </xf>
    <xf numFmtId="0" fontId="9" fillId="0" borderId="0" xfId="0" applyFont="1" applyAlignment="1">
      <alignment vertical="center"/>
    </xf>
    <xf numFmtId="0" fontId="0" fillId="0" borderId="1" xfId="0" applyBorder="1"/>
    <xf numFmtId="0" fontId="2" fillId="0" borderId="1" xfId="0" applyFont="1" applyBorder="1"/>
    <xf numFmtId="0" fontId="10" fillId="0" borderId="0" xfId="0" applyFont="1"/>
    <xf numFmtId="0" fontId="4" fillId="0" borderId="0" xfId="0" applyFont="1"/>
    <xf numFmtId="0" fontId="0" fillId="0" borderId="0" xfId="0" applyAlignment="1">
      <alignment horizontal="center"/>
    </xf>
    <xf numFmtId="0" fontId="4" fillId="0" borderId="1" xfId="0" applyFont="1" applyBorder="1"/>
    <xf numFmtId="0" fontId="4" fillId="0" borderId="1" xfId="0" applyFont="1" applyBorder="1" applyAlignment="1">
      <alignment horizontal="center"/>
    </xf>
    <xf numFmtId="0" fontId="0" fillId="0" borderId="1" xfId="0" applyBorder="1" applyAlignment="1">
      <alignment horizontal="center"/>
    </xf>
    <xf numFmtId="164" fontId="0" fillId="0" borderId="1" xfId="0" applyNumberFormat="1" applyBorder="1" applyAlignment="1">
      <alignment horizontal="center"/>
    </xf>
    <xf numFmtId="164" fontId="0" fillId="0" borderId="1" xfId="0" applyNumberFormat="1" applyBorder="1" applyAlignment="1">
      <alignment horizontal="center" vertical="center"/>
    </xf>
    <xf numFmtId="166" fontId="0" fillId="0" borderId="1" xfId="0" applyNumberFormat="1" applyBorder="1" applyAlignment="1">
      <alignment horizontal="center" vertical="center"/>
    </xf>
    <xf numFmtId="166" fontId="0" fillId="0" borderId="1" xfId="0" applyNumberFormat="1" applyBorder="1" applyAlignment="1">
      <alignment horizontal="center"/>
    </xf>
    <xf numFmtId="0" fontId="11" fillId="0" borderId="0" xfId="0" applyFont="1" applyAlignment="1">
      <alignment horizontal="left"/>
    </xf>
    <xf numFmtId="2" fontId="0" fillId="0" borderId="0" xfId="0" applyNumberFormat="1" applyBorder="1"/>
    <xf numFmtId="0" fontId="2" fillId="0" borderId="0" xfId="0" applyFont="1" applyBorder="1"/>
    <xf numFmtId="0" fontId="8" fillId="0" borderId="0" xfId="3" applyBorder="1"/>
    <xf numFmtId="0" fontId="0" fillId="0" borderId="0" xfId="0" applyBorder="1"/>
    <xf numFmtId="0" fontId="4" fillId="0" borderId="1" xfId="0" applyFont="1" applyBorder="1" applyAlignment="1">
      <alignment horizontal="left"/>
    </xf>
    <xf numFmtId="0" fontId="0" fillId="0" borderId="1" xfId="0" applyBorder="1" applyAlignment="1">
      <alignment horizontal="left"/>
    </xf>
    <xf numFmtId="164" fontId="0" fillId="0" borderId="1" xfId="0" applyNumberFormat="1" applyBorder="1" applyAlignment="1">
      <alignment horizontal="left"/>
    </xf>
    <xf numFmtId="0" fontId="0" fillId="0" borderId="0" xfId="0" applyAlignment="1">
      <alignment wrapText="1"/>
    </xf>
    <xf numFmtId="0" fontId="0" fillId="0" borderId="0" xfId="0" applyAlignment="1">
      <alignment horizontal="center"/>
    </xf>
    <xf numFmtId="0" fontId="17" fillId="0" borderId="1" xfId="0" applyFont="1" applyBorder="1"/>
    <xf numFmtId="0" fontId="18" fillId="0" borderId="1" xfId="0" applyFont="1" applyBorder="1"/>
    <xf numFmtId="0" fontId="5" fillId="0" borderId="1" xfId="0" applyFont="1" applyBorder="1"/>
    <xf numFmtId="0" fontId="0" fillId="0" borderId="15" xfId="0" applyFill="1" applyBorder="1"/>
    <xf numFmtId="0" fontId="0" fillId="0" borderId="0" xfId="0" applyBorder="1" applyAlignment="1">
      <alignment horizontal="center"/>
    </xf>
    <xf numFmtId="0" fontId="0" fillId="2" borderId="0" xfId="0" applyFill="1"/>
    <xf numFmtId="0" fontId="0" fillId="2" borderId="1" xfId="0" applyFill="1" applyBorder="1"/>
    <xf numFmtId="166" fontId="0" fillId="2" borderId="0" xfId="0" applyNumberFormat="1" applyFill="1"/>
    <xf numFmtId="0" fontId="13" fillId="2" borderId="8" xfId="0" applyFont="1" applyFill="1" applyBorder="1"/>
    <xf numFmtId="0" fontId="14" fillId="2" borderId="9" xfId="0" applyFont="1" applyFill="1" applyBorder="1"/>
    <xf numFmtId="0" fontId="14" fillId="2" borderId="10" xfId="0" applyFont="1" applyFill="1" applyBorder="1"/>
    <xf numFmtId="2" fontId="0" fillId="2" borderId="0" xfId="0" applyNumberFormat="1" applyFill="1"/>
    <xf numFmtId="0" fontId="3" fillId="2" borderId="0" xfId="1" applyFill="1"/>
    <xf numFmtId="0" fontId="4" fillId="2" borderId="0" xfId="1" applyFont="1" applyFill="1"/>
    <xf numFmtId="0" fontId="4" fillId="2" borderId="1" xfId="1" applyFont="1" applyFill="1" applyBorder="1"/>
    <xf numFmtId="0" fontId="4" fillId="2" borderId="1" xfId="1" applyFont="1" applyFill="1" applyBorder="1" applyAlignment="1">
      <alignment horizontal="center"/>
    </xf>
    <xf numFmtId="0" fontId="3" fillId="2" borderId="1" xfId="1" applyFill="1" applyBorder="1"/>
    <xf numFmtId="0" fontId="4" fillId="2" borderId="1" xfId="1" applyFont="1" applyFill="1" applyBorder="1" applyAlignment="1">
      <alignment horizontal="center" vertical="center"/>
    </xf>
    <xf numFmtId="0" fontId="2" fillId="2" borderId="1" xfId="0" applyFont="1" applyFill="1" applyBorder="1"/>
    <xf numFmtId="0" fontId="0" fillId="2" borderId="1" xfId="0" applyFont="1" applyFill="1" applyBorder="1"/>
    <xf numFmtId="0" fontId="3" fillId="2" borderId="1" xfId="1" applyFont="1" applyFill="1" applyBorder="1"/>
    <xf numFmtId="0" fontId="3" fillId="2" borderId="1" xfId="1" applyFill="1" applyBorder="1" applyAlignment="1">
      <alignment vertical="top" wrapText="1"/>
    </xf>
    <xf numFmtId="0" fontId="3" fillId="2" borderId="0" xfId="1" applyFill="1" applyBorder="1" applyAlignment="1">
      <alignment wrapText="1"/>
    </xf>
    <xf numFmtId="0" fontId="0" fillId="2" borderId="0" xfId="0" applyFill="1" applyBorder="1"/>
    <xf numFmtId="168" fontId="3" fillId="2" borderId="1" xfId="1" applyNumberFormat="1" applyFill="1" applyBorder="1"/>
    <xf numFmtId="0" fontId="1" fillId="2" borderId="1" xfId="0" applyFont="1" applyFill="1" applyBorder="1"/>
    <xf numFmtId="0" fontId="3" fillId="2" borderId="0" xfId="1" applyFill="1" applyBorder="1" applyAlignment="1">
      <alignment vertical="center" wrapText="1"/>
    </xf>
    <xf numFmtId="0" fontId="0" fillId="2" borderId="1" xfId="0" applyFill="1" applyBorder="1" applyAlignment="1">
      <alignment vertical="top" wrapText="1"/>
    </xf>
    <xf numFmtId="0" fontId="3" fillId="2" borderId="2" xfId="1" applyFill="1" applyBorder="1"/>
    <xf numFmtId="0" fontId="4" fillId="2" borderId="1" xfId="1" applyFont="1" applyFill="1" applyBorder="1" applyAlignment="1">
      <alignment horizontal="center" vertical="center" wrapText="1"/>
    </xf>
    <xf numFmtId="164" fontId="0" fillId="2" borderId="0" xfId="0" applyNumberFormat="1" applyFill="1"/>
    <xf numFmtId="1" fontId="0" fillId="2" borderId="0" xfId="0" applyNumberFormat="1" applyFill="1"/>
    <xf numFmtId="1" fontId="0" fillId="2" borderId="1" xfId="0" applyNumberFormat="1" applyFill="1" applyBorder="1"/>
    <xf numFmtId="164" fontId="0" fillId="2" borderId="0" xfId="0" applyNumberFormat="1" applyFill="1" applyAlignment="1">
      <alignment horizontal="left" indent="7"/>
    </xf>
    <xf numFmtId="164" fontId="0" fillId="2" borderId="0" xfId="0" applyNumberFormat="1" applyFill="1" applyAlignment="1">
      <alignment horizontal="left" indent="4"/>
    </xf>
    <xf numFmtId="0" fontId="3" fillId="2" borderId="6" xfId="1" applyFill="1" applyBorder="1"/>
    <xf numFmtId="0" fontId="4" fillId="2" borderId="6" xfId="1" applyFont="1" applyFill="1" applyBorder="1" applyAlignment="1">
      <alignment vertical="center"/>
    </xf>
    <xf numFmtId="0" fontId="3" fillId="2" borderId="0" xfId="1" applyFill="1" applyAlignment="1">
      <alignment horizontal="left" wrapText="1"/>
    </xf>
    <xf numFmtId="0" fontId="6" fillId="2" borderId="0" xfId="2" applyFill="1"/>
    <xf numFmtId="1" fontId="3" fillId="2" borderId="1" xfId="1" applyNumberFormat="1" applyFill="1" applyBorder="1"/>
    <xf numFmtId="0" fontId="7" fillId="2" borderId="0" xfId="1" applyFont="1" applyFill="1"/>
    <xf numFmtId="0" fontId="0" fillId="3" borderId="0" xfId="0" applyFill="1"/>
    <xf numFmtId="0" fontId="0" fillId="2" borderId="16" xfId="0" applyFont="1" applyFill="1" applyBorder="1"/>
    <xf numFmtId="0" fontId="0" fillId="2" borderId="17" xfId="0" applyFont="1" applyFill="1" applyBorder="1"/>
    <xf numFmtId="166" fontId="0" fillId="2" borderId="1" xfId="0" applyNumberFormat="1" applyFont="1" applyFill="1" applyBorder="1"/>
    <xf numFmtId="166" fontId="0" fillId="2" borderId="20" xfId="0" applyNumberFormat="1" applyFont="1" applyFill="1" applyBorder="1"/>
    <xf numFmtId="0" fontId="0" fillId="2" borderId="22" xfId="0" applyFont="1" applyFill="1" applyBorder="1"/>
    <xf numFmtId="166" fontId="0" fillId="2" borderId="22" xfId="0" applyNumberFormat="1" applyFont="1" applyFill="1" applyBorder="1"/>
    <xf numFmtId="166" fontId="0" fillId="2" borderId="23" xfId="0" applyNumberFormat="1" applyFont="1" applyFill="1" applyBorder="1"/>
    <xf numFmtId="167" fontId="2" fillId="2" borderId="17" xfId="0" applyNumberFormat="1" applyFont="1" applyFill="1" applyBorder="1" applyAlignment="1">
      <alignment horizontal="center" vertical="center" wrapText="1"/>
    </xf>
    <xf numFmtId="167" fontId="2" fillId="2" borderId="18" xfId="0" applyNumberFormat="1" applyFont="1" applyFill="1" applyBorder="1" applyAlignment="1">
      <alignment horizontal="center" vertical="center" wrapText="1"/>
    </xf>
    <xf numFmtId="0" fontId="0" fillId="2" borderId="19" xfId="0" applyFont="1" applyFill="1" applyBorder="1"/>
    <xf numFmtId="167" fontId="0" fillId="2" borderId="1" xfId="0" applyNumberFormat="1" applyFont="1" applyFill="1" applyBorder="1"/>
    <xf numFmtId="0" fontId="0" fillId="2" borderId="21" xfId="0" applyFont="1" applyFill="1" applyBorder="1"/>
    <xf numFmtId="167" fontId="0" fillId="2" borderId="22" xfId="0" applyNumberFormat="1" applyFont="1" applyFill="1" applyBorder="1"/>
    <xf numFmtId="0" fontId="15" fillId="2" borderId="1" xfId="0" applyFont="1" applyFill="1" applyBorder="1" applyAlignment="1">
      <alignment horizontal="left"/>
    </xf>
    <xf numFmtId="4" fontId="0" fillId="2" borderId="1" xfId="0" applyNumberFormat="1" applyFill="1" applyBorder="1"/>
    <xf numFmtId="3" fontId="0" fillId="2" borderId="1" xfId="0" applyNumberFormat="1" applyFill="1" applyBorder="1"/>
    <xf numFmtId="3" fontId="0" fillId="2" borderId="1" xfId="0" applyNumberFormat="1" applyFill="1" applyBorder="1" applyAlignment="1">
      <alignment horizontal="right"/>
    </xf>
    <xf numFmtId="0" fontId="0" fillId="2" borderId="19" xfId="0" applyFill="1" applyBorder="1"/>
    <xf numFmtId="0" fontId="0" fillId="2" borderId="20" xfId="0" applyFill="1" applyBorder="1"/>
    <xf numFmtId="0" fontId="15" fillId="2" borderId="20" xfId="0" applyFont="1" applyFill="1" applyBorder="1" applyAlignment="1">
      <alignment horizontal="left"/>
    </xf>
    <xf numFmtId="4" fontId="0" fillId="2" borderId="19" xfId="0" applyNumberFormat="1" applyFill="1" applyBorder="1"/>
    <xf numFmtId="3" fontId="0" fillId="2" borderId="20" xfId="0" applyNumberFormat="1" applyFill="1" applyBorder="1" applyAlignment="1">
      <alignment horizontal="right"/>
    </xf>
    <xf numFmtId="4" fontId="0" fillId="2" borderId="21" xfId="0" applyNumberFormat="1" applyFill="1" applyBorder="1"/>
    <xf numFmtId="4" fontId="0" fillId="2" borderId="22" xfId="0" applyNumberFormat="1" applyFill="1" applyBorder="1"/>
    <xf numFmtId="3" fontId="0" fillId="2" borderId="22" xfId="0" applyNumberFormat="1" applyFill="1" applyBorder="1"/>
    <xf numFmtId="3" fontId="0" fillId="2" borderId="22" xfId="0" applyNumberFormat="1" applyFill="1" applyBorder="1" applyAlignment="1">
      <alignment horizontal="right"/>
    </xf>
    <xf numFmtId="3" fontId="0" fillId="2" borderId="23" xfId="0" applyNumberFormat="1" applyFill="1" applyBorder="1" applyAlignment="1">
      <alignment horizontal="right"/>
    </xf>
    <xf numFmtId="2" fontId="0" fillId="2" borderId="1" xfId="0" applyNumberFormat="1" applyFill="1" applyBorder="1"/>
    <xf numFmtId="0" fontId="0" fillId="2" borderId="19" xfId="0" applyFill="1" applyBorder="1" applyAlignment="1">
      <alignment horizontal="left"/>
    </xf>
    <xf numFmtId="2" fontId="0" fillId="2" borderId="22" xfId="0" applyNumberFormat="1" applyFill="1" applyBorder="1"/>
    <xf numFmtId="0" fontId="0" fillId="2" borderId="23" xfId="0" applyFill="1" applyBorder="1"/>
    <xf numFmtId="165" fontId="0" fillId="2" borderId="1" xfId="0" applyNumberFormat="1" applyFill="1" applyBorder="1"/>
    <xf numFmtId="0" fontId="0" fillId="2" borderId="21" xfId="0" applyFill="1" applyBorder="1"/>
    <xf numFmtId="165" fontId="0" fillId="2" borderId="22" xfId="0" applyNumberFormat="1" applyFill="1" applyBorder="1"/>
    <xf numFmtId="0" fontId="0" fillId="3" borderId="0" xfId="0" applyFill="1" applyBorder="1"/>
    <xf numFmtId="0" fontId="0" fillId="3" borderId="0" xfId="0" applyFill="1" applyAlignment="1">
      <alignment horizontal="center"/>
    </xf>
    <xf numFmtId="0" fontId="0" fillId="2" borderId="0" xfId="0" applyFill="1" applyAlignment="1">
      <alignment wrapText="1"/>
    </xf>
    <xf numFmtId="0" fontId="19" fillId="2" borderId="0" xfId="0" applyFont="1" applyFill="1" applyAlignment="1">
      <alignment vertical="center" wrapText="1"/>
    </xf>
    <xf numFmtId="0" fontId="20" fillId="2" borderId="0" xfId="0" applyFont="1" applyFill="1" applyAlignment="1">
      <alignment vertical="center" wrapText="1"/>
    </xf>
    <xf numFmtId="0" fontId="20" fillId="2" borderId="0" xfId="0" applyFont="1" applyFill="1" applyAlignment="1">
      <alignment horizontal="left" vertical="center" wrapText="1"/>
    </xf>
    <xf numFmtId="0" fontId="25" fillId="2" borderId="0" xfId="0" applyFont="1" applyFill="1" applyAlignment="1">
      <alignment horizontal="left" vertical="center" wrapText="1"/>
    </xf>
    <xf numFmtId="0" fontId="6" fillId="2" borderId="0" xfId="2" applyFill="1" applyAlignment="1">
      <alignment horizontal="left" vertical="center" wrapText="1"/>
    </xf>
    <xf numFmtId="0" fontId="28" fillId="2" borderId="0" xfId="0" applyFont="1" applyFill="1" applyAlignment="1">
      <alignment horizontal="left" vertical="center" wrapText="1"/>
    </xf>
    <xf numFmtId="0" fontId="31" fillId="2" borderId="0" xfId="0" applyFont="1" applyFill="1" applyAlignment="1">
      <alignment vertical="center" wrapText="1"/>
    </xf>
    <xf numFmtId="0" fontId="33" fillId="2" borderId="0" xfId="0" applyFont="1" applyFill="1" applyAlignment="1">
      <alignment vertical="center" wrapText="1"/>
    </xf>
    <xf numFmtId="0" fontId="6" fillId="2" borderId="0" xfId="2" applyFill="1" applyAlignment="1">
      <alignment vertical="center" wrapText="1"/>
    </xf>
    <xf numFmtId="0" fontId="32" fillId="2" borderId="0" xfId="0" applyFont="1" applyFill="1" applyAlignment="1">
      <alignment vertical="center" wrapText="1"/>
    </xf>
    <xf numFmtId="0" fontId="3" fillId="2" borderId="1" xfId="1" applyFill="1" applyBorder="1" applyAlignment="1">
      <alignment horizontal="left" wrapText="1"/>
    </xf>
    <xf numFmtId="0" fontId="4" fillId="2" borderId="6"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3" fillId="2" borderId="3" xfId="1" applyFill="1" applyBorder="1" applyAlignment="1">
      <alignment horizontal="left" wrapText="1"/>
    </xf>
    <xf numFmtId="0" fontId="3" fillId="2" borderId="4" xfId="1" applyFill="1" applyBorder="1" applyAlignment="1">
      <alignment horizontal="left" wrapText="1"/>
    </xf>
    <xf numFmtId="0" fontId="3" fillId="2" borderId="5" xfId="1" applyFill="1" applyBorder="1" applyAlignment="1">
      <alignment horizontal="left" wrapText="1"/>
    </xf>
    <xf numFmtId="0" fontId="4" fillId="2" borderId="1" xfId="1" applyFont="1" applyFill="1" applyBorder="1" applyAlignment="1">
      <alignment horizontal="center" vertical="center" wrapText="1"/>
    </xf>
    <xf numFmtId="0" fontId="3" fillId="2" borderId="3" xfId="1" applyFill="1" applyBorder="1" applyAlignment="1">
      <alignment horizontal="left" vertical="center" wrapText="1"/>
    </xf>
    <xf numFmtId="0" fontId="3" fillId="2" borderId="4" xfId="1" applyFill="1" applyBorder="1" applyAlignment="1">
      <alignment horizontal="left" vertical="center" wrapText="1"/>
    </xf>
    <xf numFmtId="0" fontId="3" fillId="2" borderId="5" xfId="1" applyFill="1" applyBorder="1" applyAlignment="1">
      <alignment horizontal="left" vertical="center" wrapText="1"/>
    </xf>
    <xf numFmtId="0" fontId="4" fillId="2" borderId="1" xfId="1" applyFont="1" applyFill="1" applyBorder="1" applyAlignment="1">
      <alignment horizontal="center" vertical="center"/>
    </xf>
    <xf numFmtId="0" fontId="3" fillId="2" borderId="1" xfId="1" applyFill="1" applyBorder="1" applyAlignment="1">
      <alignment horizontal="left" vertical="center" wrapText="1"/>
    </xf>
    <xf numFmtId="0" fontId="4" fillId="2" borderId="6"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7" xfId="1" applyFont="1" applyFill="1" applyBorder="1" applyAlignment="1">
      <alignment horizontal="center" vertical="center"/>
    </xf>
    <xf numFmtId="0" fontId="14" fillId="2" borderId="11" xfId="0" applyFont="1" applyFill="1" applyBorder="1" applyAlignment="1">
      <alignment horizontal="left"/>
    </xf>
    <xf numFmtId="0" fontId="14" fillId="2" borderId="12" xfId="0" applyFont="1" applyFill="1" applyBorder="1" applyAlignment="1">
      <alignment horizontal="left"/>
    </xf>
    <xf numFmtId="0" fontId="14" fillId="2" borderId="13" xfId="0" applyFont="1" applyFill="1" applyBorder="1" applyAlignment="1">
      <alignment horizontal="left"/>
    </xf>
    <xf numFmtId="0" fontId="0" fillId="2" borderId="1" xfId="0" applyFill="1" applyBorder="1" applyAlignment="1">
      <alignment horizontal="center"/>
    </xf>
    <xf numFmtId="0" fontId="0" fillId="2" borderId="20" xfId="0" applyFill="1" applyBorder="1" applyAlignment="1">
      <alignment horizont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16"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27"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3" xfId="0" applyFill="1" applyBorder="1" applyAlignment="1">
      <alignment horizontal="center"/>
    </xf>
    <xf numFmtId="0" fontId="0" fillId="2" borderId="28" xfId="0" applyFill="1" applyBorder="1" applyAlignment="1">
      <alignment horizontal="center"/>
    </xf>
    <xf numFmtId="0" fontId="2" fillId="0" borderId="6" xfId="0" applyFont="1" applyBorder="1" applyAlignment="1">
      <alignment horizontal="center"/>
    </xf>
    <xf numFmtId="0" fontId="2" fillId="0" borderId="14" xfId="0" applyFont="1" applyBorder="1" applyAlignment="1">
      <alignment horizontal="center"/>
    </xf>
    <xf numFmtId="0" fontId="2" fillId="0" borderId="0" xfId="0" applyFont="1" applyAlignment="1">
      <alignment horizontal="left" vertical="center" wrapText="1"/>
    </xf>
  </cellXfs>
  <cellStyles count="4">
    <cellStyle name="Hyperlink" xfId="2" builtinId="8"/>
    <cellStyle name="Hyperlink 2" xfId="3" xr:uid="{0F284E39-8F22-B24B-A91A-71D78C9223EC}"/>
    <cellStyle name="Normal" xfId="0" builtinId="0"/>
    <cellStyle name="Normal 2" xfId="1" xr:uid="{5CDE243D-C5E9-0E4F-A9A6-3BC58E2C0E1F}"/>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png"/><Relationship Id="rId2" Type="http://schemas.openxmlformats.org/officeDocument/2006/relationships/image" Target="../media/image2.emf"/><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3683000</xdr:colOff>
      <xdr:row>9</xdr:row>
      <xdr:rowOff>139700</xdr:rowOff>
    </xdr:to>
    <xdr:pic>
      <xdr:nvPicPr>
        <xdr:cNvPr id="3" name="Picture 2">
          <a:extLst>
            <a:ext uri="{FF2B5EF4-FFF2-40B4-BE49-F238E27FC236}">
              <a16:creationId xmlns:a16="http://schemas.microsoft.com/office/drawing/2014/main" id="{4D1C6C06-4338-BF43-9062-7E2BC6D3AB11}"/>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6061"/>
        <a:stretch/>
      </xdr:blipFill>
      <xdr:spPr bwMode="auto">
        <a:xfrm>
          <a:off x="0" y="0"/>
          <a:ext cx="3683000" cy="1968500"/>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1422400</xdr:colOff>
      <xdr:row>25</xdr:row>
      <xdr:rowOff>76200</xdr:rowOff>
    </xdr:from>
    <xdr:to>
      <xdr:col>0</xdr:col>
      <xdr:colOff>7366000</xdr:colOff>
      <xdr:row>26</xdr:row>
      <xdr:rowOff>406400</xdr:rowOff>
    </xdr:to>
    <xdr:pic>
      <xdr:nvPicPr>
        <xdr:cNvPr id="4" name="Picture 3">
          <a:extLst>
            <a:ext uri="{FF2B5EF4-FFF2-40B4-BE49-F238E27FC236}">
              <a16:creationId xmlns:a16="http://schemas.microsoft.com/office/drawing/2014/main" id="{9DC84003-3F94-BD4E-B1C3-769737BE6368}"/>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22400" y="5207000"/>
          <a:ext cx="5943600" cy="533400"/>
        </a:xfrm>
        <a:prstGeom prst="rect">
          <a:avLst/>
        </a:prstGeom>
        <a:noFill/>
        <a:ln>
          <a:solidFill>
            <a:schemeClr val="bg1"/>
          </a:solid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1473200</xdr:colOff>
      <xdr:row>32</xdr:row>
      <xdr:rowOff>88900</xdr:rowOff>
    </xdr:from>
    <xdr:to>
      <xdr:col>0</xdr:col>
      <xdr:colOff>7416800</xdr:colOff>
      <xdr:row>33</xdr:row>
      <xdr:rowOff>419100</xdr:rowOff>
    </xdr:to>
    <xdr:pic>
      <xdr:nvPicPr>
        <xdr:cNvPr id="5" name="Picture 4">
          <a:extLst>
            <a:ext uri="{FF2B5EF4-FFF2-40B4-BE49-F238E27FC236}">
              <a16:creationId xmlns:a16="http://schemas.microsoft.com/office/drawing/2014/main" id="{86178ADB-300D-F34E-A9A4-477AC91E6345}"/>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73200" y="6972300"/>
          <a:ext cx="5943600"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5553075</xdr:colOff>
      <xdr:row>60</xdr:row>
      <xdr:rowOff>102235</xdr:rowOff>
    </xdr:from>
    <xdr:to>
      <xdr:col>0</xdr:col>
      <xdr:colOff>6896100</xdr:colOff>
      <xdr:row>64</xdr:row>
      <xdr:rowOff>165100</xdr:rowOff>
    </xdr:to>
    <xdr:pic>
      <xdr:nvPicPr>
        <xdr:cNvPr id="6" name="Picture 5">
          <a:extLst>
            <a:ext uri="{FF2B5EF4-FFF2-40B4-BE49-F238E27FC236}">
              <a16:creationId xmlns:a16="http://schemas.microsoft.com/office/drawing/2014/main" id="{A724BDA4-4BFA-9642-B92E-DFA64982F04A}"/>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553075" y="14745335"/>
          <a:ext cx="1343025" cy="875665"/>
        </a:xfrm>
        <a:prstGeom prst="rect">
          <a:avLst/>
        </a:prstGeom>
      </xdr:spPr>
    </xdr:pic>
    <xdr:clientData/>
  </xdr:twoCellAnchor>
  <xdr:twoCellAnchor editAs="oneCell">
    <xdr:from>
      <xdr:col>0</xdr:col>
      <xdr:colOff>4267201</xdr:colOff>
      <xdr:row>61</xdr:row>
      <xdr:rowOff>20320</xdr:rowOff>
    </xdr:from>
    <xdr:to>
      <xdr:col>0</xdr:col>
      <xdr:colOff>5308600</xdr:colOff>
      <xdr:row>64</xdr:row>
      <xdr:rowOff>152400</xdr:rowOff>
    </xdr:to>
    <xdr:pic>
      <xdr:nvPicPr>
        <xdr:cNvPr id="7" name="Picture 6">
          <a:extLst>
            <a:ext uri="{FF2B5EF4-FFF2-40B4-BE49-F238E27FC236}">
              <a16:creationId xmlns:a16="http://schemas.microsoft.com/office/drawing/2014/main" id="{5B04031B-8692-9A4D-B92F-9844CBE98C52}"/>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267201" y="14866620"/>
          <a:ext cx="1041399" cy="741680"/>
        </a:xfrm>
        <a:prstGeom prst="rect">
          <a:avLst/>
        </a:prstGeom>
      </xdr:spPr>
    </xdr:pic>
    <xdr:clientData/>
  </xdr:twoCellAnchor>
  <xdr:twoCellAnchor editAs="oneCell">
    <xdr:from>
      <xdr:col>0</xdr:col>
      <xdr:colOff>190500</xdr:colOff>
      <xdr:row>61</xdr:row>
      <xdr:rowOff>12700</xdr:rowOff>
    </xdr:from>
    <xdr:to>
      <xdr:col>0</xdr:col>
      <xdr:colOff>4064000</xdr:colOff>
      <xdr:row>65</xdr:row>
      <xdr:rowOff>0</xdr:rowOff>
    </xdr:to>
    <xdr:pic>
      <xdr:nvPicPr>
        <xdr:cNvPr id="8" name="Picture 7">
          <a:extLst>
            <a:ext uri="{FF2B5EF4-FFF2-40B4-BE49-F238E27FC236}">
              <a16:creationId xmlns:a16="http://schemas.microsoft.com/office/drawing/2014/main" id="{0795951E-BFD7-8647-A026-89197FD406C8}"/>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90500" y="14859000"/>
          <a:ext cx="3873500" cy="800100"/>
        </a:xfrm>
        <a:prstGeom prst="rect">
          <a:avLst/>
        </a:prstGeom>
      </xdr:spPr>
    </xdr:pic>
    <xdr:clientData/>
  </xdr:twoCellAnchor>
  <xdr:twoCellAnchor editAs="oneCell">
    <xdr:from>
      <xdr:col>0</xdr:col>
      <xdr:colOff>7175500</xdr:colOff>
      <xdr:row>60</xdr:row>
      <xdr:rowOff>184150</xdr:rowOff>
    </xdr:from>
    <xdr:to>
      <xdr:col>0</xdr:col>
      <xdr:colOff>8178800</xdr:colOff>
      <xdr:row>64</xdr:row>
      <xdr:rowOff>190500</xdr:rowOff>
    </xdr:to>
    <xdr:pic>
      <xdr:nvPicPr>
        <xdr:cNvPr id="9" name="Picture 8">
          <a:extLst>
            <a:ext uri="{FF2B5EF4-FFF2-40B4-BE49-F238E27FC236}">
              <a16:creationId xmlns:a16="http://schemas.microsoft.com/office/drawing/2014/main" id="{899F8D7E-15D3-4B4F-B5DA-4B957CF409DD}"/>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175500" y="14827250"/>
          <a:ext cx="1003300" cy="8191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olumes/GoogleDrive/My%20Drive/28.%20WRI%20BEA/20.%20BEA%20Cities%20Energy%20GHG%20Estimates/10.%20LBNL%20Analysis/BEA%20Cities_CodeRetrofit_Data%20Template%20CAMPECH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lete This Tab First"/>
      <sheetName val="Template Instructions"/>
      <sheetName val="Property Information"/>
      <sheetName val="Utility Data"/>
      <sheetName val="Glossary of Terms"/>
      <sheetName val="Calculator Tab"/>
      <sheetName val="Validation"/>
    </sheetNames>
    <sheetDataSet>
      <sheetData sheetId="0">
        <row r="39">
          <cell r="H39">
            <v>5521</v>
          </cell>
        </row>
      </sheetData>
      <sheetData sheetId="1"/>
      <sheetData sheetId="2"/>
      <sheetData sheetId="3"/>
      <sheetData sheetId="4"/>
      <sheetData sheetId="5"/>
      <sheetData sheetId="6">
        <row r="3">
          <cell r="A3" t="str">
            <v>Bank Branch</v>
          </cell>
          <cell r="J3" t="str">
            <v>Australian dollars (AUD / $ )</v>
          </cell>
          <cell r="N3" t="str">
            <v>Coal (anthracite)</v>
          </cell>
          <cell r="P3" t="str">
            <v>SI Units (meters, kWh, °C)</v>
          </cell>
        </row>
        <row r="4">
          <cell r="A4" t="str">
            <v>Courthouse</v>
          </cell>
          <cell r="J4" t="str">
            <v>Bangladeshi taka (BDT / ৳ )</v>
          </cell>
          <cell r="N4" t="str">
            <v>Coal (bituminous)</v>
          </cell>
          <cell r="P4" t="str">
            <v>Imperial Units (feet, kBtu, °F)</v>
          </cell>
        </row>
        <row r="5">
          <cell r="A5" t="str">
            <v>Data Center</v>
          </cell>
          <cell r="J5" t="str">
            <v>Brazilian real (BRL / R$ )</v>
          </cell>
          <cell r="N5" t="str">
            <v>Coke</v>
          </cell>
        </row>
        <row r="6">
          <cell r="A6" t="str">
            <v>Distribution Center</v>
          </cell>
          <cell r="J6" t="str">
            <v>Bulgarian lev (BGN / лв )</v>
          </cell>
          <cell r="N6" t="str">
            <v>Diesel</v>
          </cell>
        </row>
        <row r="7">
          <cell r="A7" t="str">
            <v>Financial Office</v>
          </cell>
          <cell r="J7" t="str">
            <v>Canadian dollars (CAD / $ )</v>
          </cell>
          <cell r="N7" t="str">
            <v>District Steam</v>
          </cell>
        </row>
        <row r="8">
          <cell r="A8" t="str">
            <v>Hospital (General Medical &amp; Surgical)</v>
          </cell>
          <cell r="J8" t="str">
            <v>Chilean peso (CLP / $ )</v>
          </cell>
          <cell r="N8" t="str">
            <v>District Hot Water</v>
          </cell>
        </row>
        <row r="9">
          <cell r="A9" t="str">
            <v>Hotel</v>
          </cell>
          <cell r="J9" t="str">
            <v>Chinese yuan (CNY / ¥ )</v>
          </cell>
          <cell r="N9" t="str">
            <v>District Chilled Water - Electric</v>
          </cell>
        </row>
        <row r="10">
          <cell r="A10" t="str">
            <v>K-12 School</v>
          </cell>
          <cell r="J10" t="str">
            <v>Colombian peso (COP / $ )</v>
          </cell>
          <cell r="N10" t="str">
            <v>District Chilled Water - Absorption</v>
          </cell>
        </row>
        <row r="11">
          <cell r="A11" t="str">
            <v>Multifamily Housing</v>
          </cell>
          <cell r="J11" t="str">
            <v>Croatian Kuna (HRK / kn )</v>
          </cell>
          <cell r="N11" t="str">
            <v>District Chilled Water - Engine</v>
          </cell>
        </row>
        <row r="12">
          <cell r="A12" t="str">
            <v>Non-Refrigerated Warehouse</v>
          </cell>
          <cell r="J12" t="str">
            <v>Czech koruna (CZK / Kč )</v>
          </cell>
          <cell r="N12" t="str">
            <v>District Chilled Water - Other</v>
          </cell>
        </row>
        <row r="13">
          <cell r="A13" t="str">
            <v>Office</v>
          </cell>
          <cell r="J13" t="str">
            <v>Danish krone (DKK / kr )</v>
          </cell>
          <cell r="N13" t="str">
            <v>Electric - Grid</v>
          </cell>
        </row>
        <row r="14">
          <cell r="A14" t="str">
            <v>Refrigerated Warehouse</v>
          </cell>
          <cell r="J14" t="str">
            <v>Emirati dirham  (AED / د.إ )</v>
          </cell>
          <cell r="N14" t="str">
            <v>Electric - Solar</v>
          </cell>
        </row>
        <row r="15">
          <cell r="A15" t="str">
            <v>Retail Store</v>
          </cell>
          <cell r="J15" t="str">
            <v>Euro (EUR / € )</v>
          </cell>
          <cell r="N15" t="str">
            <v>Electric - Wind</v>
          </cell>
        </row>
        <row r="16">
          <cell r="A16" t="str">
            <v>Senior Care Community</v>
          </cell>
          <cell r="J16" t="str">
            <v>Georgian lari (GEL / ₾ )</v>
          </cell>
          <cell r="N16" t="str">
            <v>Fuel Oil (No. 1)</v>
          </cell>
        </row>
        <row r="17">
          <cell r="A17" t="str">
            <v>Supermarket/Grocery Store</v>
          </cell>
          <cell r="J17" t="str">
            <v>Hong Kong dollar (HKD / HK$ )</v>
          </cell>
          <cell r="N17" t="str">
            <v>Fuel Oil (No. 2)</v>
          </cell>
        </row>
        <row r="18">
          <cell r="A18" t="str">
            <v>Other</v>
          </cell>
          <cell r="J18" t="str">
            <v>Hungarian forint (HUF / ft )</v>
          </cell>
          <cell r="N18" t="str">
            <v>Fuel Oil (No. 4)</v>
          </cell>
        </row>
        <row r="19">
          <cell r="J19" t="str">
            <v>Indian rupee (INR / ₹ )</v>
          </cell>
          <cell r="N19" t="str">
            <v>Fuel Oil (No. 5 and No. 6)</v>
          </cell>
        </row>
        <row r="20">
          <cell r="J20" t="str">
            <v>Indonesian rupiah (IDR / Rp )</v>
          </cell>
          <cell r="N20" t="str">
            <v>Kerosene</v>
          </cell>
        </row>
        <row r="21">
          <cell r="J21" t="str">
            <v>Israeli shekel (ILS / ₪ )</v>
          </cell>
          <cell r="N21" t="str">
            <v>Natural Gas</v>
          </cell>
        </row>
        <row r="22">
          <cell r="J22" t="str">
            <v>Japanese yen (JPY / ¥ )</v>
          </cell>
          <cell r="N22" t="str">
            <v>Propane</v>
          </cell>
        </row>
        <row r="23">
          <cell r="J23" t="str">
            <v>Kenyan shilling (KES / Ksh )</v>
          </cell>
          <cell r="N23" t="str">
            <v>Wood</v>
          </cell>
        </row>
        <row r="24">
          <cell r="J24" t="str">
            <v>Malaysian ringgit (MYR / RM )</v>
          </cell>
        </row>
        <row r="25">
          <cell r="J25" t="str">
            <v>Mexican peso (MXN / $ )</v>
          </cell>
        </row>
        <row r="26">
          <cell r="J26" t="str">
            <v>Moroccan dirham (MAD /الدرهم )</v>
          </cell>
        </row>
        <row r="27">
          <cell r="J27" t="str">
            <v>New Zealand dollar (NZD / $ )</v>
          </cell>
        </row>
        <row r="28">
          <cell r="J28" t="str">
            <v>Nigerian naira (NGN / ₦ )</v>
          </cell>
        </row>
        <row r="29">
          <cell r="J29" t="str">
            <v>Norwegian krone (NOK / kr )</v>
          </cell>
        </row>
        <row r="30">
          <cell r="J30" t="str">
            <v>Pakistani rupee (PKR / Rs )</v>
          </cell>
        </row>
        <row r="31">
          <cell r="J31" t="str">
            <v>Peruvian sol (PEN / S/. )</v>
          </cell>
        </row>
        <row r="32">
          <cell r="J32" t="str">
            <v>Philippine peso (PHP / ₱ )</v>
          </cell>
        </row>
        <row r="33">
          <cell r="J33" t="str">
            <v>Polish zloty (PLN / zł )</v>
          </cell>
        </row>
        <row r="34">
          <cell r="J34" t="str">
            <v>Pounds sterling (GBP / £ )</v>
          </cell>
        </row>
        <row r="35">
          <cell r="J35" t="str">
            <v>Romanian leu (RON / lei )</v>
          </cell>
        </row>
        <row r="36">
          <cell r="J36" t="str">
            <v>Russian ruble (RUB / ₽ )</v>
          </cell>
        </row>
        <row r="37">
          <cell r="J37" t="str">
            <v>Singapore dollar (SGD / $ )</v>
          </cell>
        </row>
        <row r="38">
          <cell r="J38" t="str">
            <v>South African rand (ZAR / R )</v>
          </cell>
        </row>
        <row r="39">
          <cell r="J39" t="str">
            <v>South Korean won (KRW / ₩ )</v>
          </cell>
        </row>
        <row r="40">
          <cell r="J40" t="str">
            <v>Sri Lankan rupee (LKR / Rs )</v>
          </cell>
        </row>
        <row r="41">
          <cell r="J41" t="str">
            <v>Swedish krona (SEK / kr )</v>
          </cell>
        </row>
        <row r="42">
          <cell r="J42" t="str">
            <v>Swiss franc (CHF / CHF )</v>
          </cell>
        </row>
        <row r="43">
          <cell r="J43" t="str">
            <v>Thai baht (THB / ฿ )</v>
          </cell>
        </row>
        <row r="44">
          <cell r="J44" t="str">
            <v>Turkish lira (TRY / ₺ )</v>
          </cell>
        </row>
        <row r="45">
          <cell r="J45" t="str">
            <v>Ukrainian hryvna (UAH / ₴ )</v>
          </cell>
        </row>
        <row r="46">
          <cell r="J46" t="str">
            <v>US dollar  (USD / $ )</v>
          </cell>
        </row>
        <row r="47">
          <cell r="J47" t="str">
            <v>Vietnamese dong (VND / ₫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applewebdata://FDB8B661-0059-45F7-A921-2D3849CDADF3/" TargetMode="External"/><Relationship Id="rId2" Type="http://schemas.openxmlformats.org/officeDocument/2006/relationships/hyperlink" Target="applewebdata://FDB8B661-0059-45F7-A921-2D3849CDADF3/" TargetMode="External"/><Relationship Id="rId1" Type="http://schemas.openxmlformats.org/officeDocument/2006/relationships/hyperlink" Target="applewebdata://FDB8B661-0059-45F7-A921-2D3849CDADF3/" TargetMode="External"/><Relationship Id="rId6" Type="http://schemas.openxmlformats.org/officeDocument/2006/relationships/drawing" Target="../drawings/drawing1.xml"/><Relationship Id="rId5" Type="http://schemas.openxmlformats.org/officeDocument/2006/relationships/hyperlink" Target="https://unfccc.int/process-and-meetings/transparency-and-reporting/reporting-and-review-under-the-convention/greenhouse-gas-inventories-annex-i-parties/national-inventory-submissions-2019" TargetMode="External"/><Relationship Id="rId4" Type="http://schemas.openxmlformats.org/officeDocument/2006/relationships/hyperlink" Target="applewebdata://FDB8B661-0059-45F7-A921-2D3849CDADF3/"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www.epa.gov/sites/production/files/2018-03/documents/emission-factors_mar_2018_0.pdf" TargetMode="External"/><Relationship Id="rId18" Type="http://schemas.openxmlformats.org/officeDocument/2006/relationships/hyperlink" Target="https://www.eia.gov/environment/emissions/archive/coefficients.php" TargetMode="External"/><Relationship Id="rId26" Type="http://schemas.openxmlformats.org/officeDocument/2006/relationships/hyperlink" Target="https://www.eia.gov/environment/emissions/archive/coefficients.php" TargetMode="External"/><Relationship Id="rId3" Type="http://schemas.openxmlformats.org/officeDocument/2006/relationships/hyperlink" Target="https://www.eia.gov/tools/faqs/faq.php?id=73&amp;t=11" TargetMode="External"/><Relationship Id="rId21" Type="http://schemas.openxmlformats.org/officeDocument/2006/relationships/hyperlink" Target="https://www.eia.gov/environment/emissions/archive/coefficients.php" TargetMode="External"/><Relationship Id="rId7" Type="http://schemas.openxmlformats.org/officeDocument/2006/relationships/hyperlink" Target="https://www.epa.gov/sites/production/files/2018-03/documents/emission-factors_mar_2018_0.pdf" TargetMode="External"/><Relationship Id="rId12" Type="http://schemas.openxmlformats.org/officeDocument/2006/relationships/hyperlink" Target="https://obamawhitehouse.archives.gov/sites/default/files/federal_greenhouse_gas_accounting_and_reporting_guidance_technical_support_document.pdf,%20Table%20D-9,%2080%25%20boiler%20efficiency" TargetMode="External"/><Relationship Id="rId17" Type="http://schemas.openxmlformats.org/officeDocument/2006/relationships/hyperlink" Target="https://obamawhitehouse.archives.gov/sites/default/files/federal_greenhouse_gas_accounting_and_reporting_guidance_technical_support_document.pdf,%20Table%20D-10" TargetMode="External"/><Relationship Id="rId25" Type="http://schemas.openxmlformats.org/officeDocument/2006/relationships/hyperlink" Target="https://obamawhitehouse.archives.gov/sites/default/files/federal_greenhouse_gas_accounting_and_reporting_guidance_technical_support_document.pdf,%20Table%20D-9" TargetMode="External"/><Relationship Id="rId33" Type="http://schemas.openxmlformats.org/officeDocument/2006/relationships/hyperlink" Target="https://obamawhitehouse.archives.gov/sites/default/files/federal_greenhouse_gas_accounting_and_reporting_guidance_technical_support_document.pdf,%20Table%20D-9" TargetMode="External"/><Relationship Id="rId2" Type="http://schemas.openxmlformats.org/officeDocument/2006/relationships/hyperlink" Target="https://www.eia.gov/tools/faqs/faq.php?id=73&amp;t=11" TargetMode="External"/><Relationship Id="rId16" Type="http://schemas.openxmlformats.org/officeDocument/2006/relationships/hyperlink" Target="https://obamawhitehouse.archives.gov/sites/default/files/federal_greenhouse_gas_accounting_and_reporting_guidance_technical_support_document.pdf,%20Table%20D-10" TargetMode="External"/><Relationship Id="rId20" Type="http://schemas.openxmlformats.org/officeDocument/2006/relationships/hyperlink" Target="https://www.eia.gov/environment/emissions/archive/coefficients.php" TargetMode="External"/><Relationship Id="rId29" Type="http://schemas.openxmlformats.org/officeDocument/2006/relationships/hyperlink" Target="https://www.eia.gov/environment/emissions/archive/coefficients.php" TargetMode="External"/><Relationship Id="rId1" Type="http://schemas.openxmlformats.org/officeDocument/2006/relationships/hyperlink" Target="https://www.eia.gov/tools/faqs/faq.php?id=73&amp;t=11" TargetMode="External"/><Relationship Id="rId6" Type="http://schemas.openxmlformats.org/officeDocument/2006/relationships/hyperlink" Target="https://www.eia.gov/environment/emissions/archive/coefficients.php" TargetMode="External"/><Relationship Id="rId11" Type="http://schemas.openxmlformats.org/officeDocument/2006/relationships/hyperlink" Target="https://www.epa.gov/sites/production/files/2018-03/documents/emission-factors_mar_2018_0.pdf" TargetMode="External"/><Relationship Id="rId24" Type="http://schemas.openxmlformats.org/officeDocument/2006/relationships/hyperlink" Target="https://obamawhitehouse.archives.gov/sites/default/files/federal_greenhouse_gas_accounting_and_reporting_guidance_technical_support_document.pdf,%20Table%20D-9" TargetMode="External"/><Relationship Id="rId32" Type="http://schemas.openxmlformats.org/officeDocument/2006/relationships/hyperlink" Target="https://obamawhitehouse.archives.gov/sites/default/files/federal_greenhouse_gas_accounting_and_reporting_guidance_technical_support_document.pdf,%20Table%20D-9" TargetMode="External"/><Relationship Id="rId5" Type="http://schemas.openxmlformats.org/officeDocument/2006/relationships/hyperlink" Target="https://www.eia.gov/environment/emissions/co2_vol_mass.php" TargetMode="External"/><Relationship Id="rId15" Type="http://schemas.openxmlformats.org/officeDocument/2006/relationships/hyperlink" Target="https://obamawhitehouse.archives.gov/sites/default/files/federal_greenhouse_gas_accounting_and_reporting_guidance_technical_support_document.pdf,%20Table%20D-10" TargetMode="External"/><Relationship Id="rId23" Type="http://schemas.openxmlformats.org/officeDocument/2006/relationships/hyperlink" Target="https://www.eia.gov/environment/emissions/archive/coefficients.php" TargetMode="External"/><Relationship Id="rId28" Type="http://schemas.openxmlformats.org/officeDocument/2006/relationships/hyperlink" Target="https://www.eia.gov/environment/emissions/archive/coefficients.php" TargetMode="External"/><Relationship Id="rId10" Type="http://schemas.openxmlformats.org/officeDocument/2006/relationships/hyperlink" Target="https://www.epa.gov/sites/production/files/2018-03/documents/emission-factors_mar_2018_0.pdf" TargetMode="External"/><Relationship Id="rId19" Type="http://schemas.openxmlformats.org/officeDocument/2006/relationships/hyperlink" Target="https://www.eia.gov/environment/emissions/archive/coefficients.php" TargetMode="External"/><Relationship Id="rId31" Type="http://schemas.openxmlformats.org/officeDocument/2006/relationships/hyperlink" Target="https://www.eia.gov/environment/emissions/archive/coefficients.php" TargetMode="External"/><Relationship Id="rId4" Type="http://schemas.openxmlformats.org/officeDocument/2006/relationships/hyperlink" Target="https://www.eia.gov/tools/faqs/faq.php?id=73&amp;t=11" TargetMode="External"/><Relationship Id="rId9" Type="http://schemas.openxmlformats.org/officeDocument/2006/relationships/hyperlink" Target="https://www.epa.gov/sites/production/files/2018-03/documents/emission-factors_mar_2018_0.pdf" TargetMode="External"/><Relationship Id="rId14" Type="http://schemas.openxmlformats.org/officeDocument/2006/relationships/hyperlink" Target="https://obamawhitehouse.archives.gov/sites/default/files/federal_greenhouse_gas_accounting_and_reporting_guidance_technical_support_document.pdf,%20Table%20D-9,%2080%25%20boiler%20efficiency" TargetMode="External"/><Relationship Id="rId22" Type="http://schemas.openxmlformats.org/officeDocument/2006/relationships/hyperlink" Target="https://www.eia.gov/environment/emissions/archive/coefficients.php" TargetMode="External"/><Relationship Id="rId27" Type="http://schemas.openxmlformats.org/officeDocument/2006/relationships/hyperlink" Target="https://www.eia.gov/environment/emissions/archive/coefficients.php" TargetMode="External"/><Relationship Id="rId30" Type="http://schemas.openxmlformats.org/officeDocument/2006/relationships/hyperlink" Target="https://www.eia.gov/environment/emissions/archive/coefficients.php" TargetMode="External"/><Relationship Id="rId8" Type="http://schemas.openxmlformats.org/officeDocument/2006/relationships/hyperlink" Target="https://www.epa.gov/sites/production/files/2018-03/documents/emission-factors_mar_2018_0.pdf"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portfoliomanager.energystar.gov/pdf/reference/Thermal%20Conversions.pdf" TargetMode="External"/><Relationship Id="rId18" Type="http://schemas.openxmlformats.org/officeDocument/2006/relationships/hyperlink" Target="https://portfoliomanager.energystar.gov/pdf/reference/Thermal%20Conversions.pdf" TargetMode="External"/><Relationship Id="rId26" Type="http://schemas.openxmlformats.org/officeDocument/2006/relationships/hyperlink" Target="https://portfoliomanager.energystar.gov/pdf/reference/Thermal%20Conversions.pdf" TargetMode="External"/><Relationship Id="rId39" Type="http://schemas.openxmlformats.org/officeDocument/2006/relationships/hyperlink" Target="https://portfoliomanager.energystar.gov/pdf/reference/Thermal%20Conversions.pdf" TargetMode="External"/><Relationship Id="rId21" Type="http://schemas.openxmlformats.org/officeDocument/2006/relationships/hyperlink" Target="https://portfoliomanager.energystar.gov/pdf/reference/Thermal%20Conversions.pdf" TargetMode="External"/><Relationship Id="rId34" Type="http://schemas.openxmlformats.org/officeDocument/2006/relationships/hyperlink" Target="https://portfoliomanager.energystar.gov/pdf/reference/Thermal%20Conversions.pdf" TargetMode="External"/><Relationship Id="rId42" Type="http://schemas.openxmlformats.org/officeDocument/2006/relationships/hyperlink" Target="https://portfoliomanager.energystar.gov/pdf/reference/Thermal%20Conversions.pdf" TargetMode="External"/><Relationship Id="rId47" Type="http://schemas.openxmlformats.org/officeDocument/2006/relationships/hyperlink" Target="https://www.epa.gov/sites/production/files/2018-03/documents/emission-factors_mar_2018_0.pdf" TargetMode="External"/><Relationship Id="rId50" Type="http://schemas.openxmlformats.org/officeDocument/2006/relationships/printerSettings" Target="../printerSettings/printerSettings1.bin"/><Relationship Id="rId7" Type="http://schemas.openxmlformats.org/officeDocument/2006/relationships/hyperlink" Target="https://www.eia.gov/energyexplained/units-and-calculators/" TargetMode="External"/><Relationship Id="rId2" Type="http://schemas.openxmlformats.org/officeDocument/2006/relationships/hyperlink" Target="https://www.rapidtables.com/convert/energy/index.html" TargetMode="External"/><Relationship Id="rId16" Type="http://schemas.openxmlformats.org/officeDocument/2006/relationships/hyperlink" Target="https://portfoliomanager.energystar.gov/pdf/reference/Thermal%20Conversions.pdf" TargetMode="External"/><Relationship Id="rId29" Type="http://schemas.openxmlformats.org/officeDocument/2006/relationships/hyperlink" Target="https://portfoliomanager.energystar.gov/pdf/reference/Thermal%20Conversions.pdf" TargetMode="External"/><Relationship Id="rId11" Type="http://schemas.openxmlformats.org/officeDocument/2006/relationships/hyperlink" Target="https://www.metric-conversions.org/volume/cubic-feet-to-cubic-meters.htm" TargetMode="External"/><Relationship Id="rId24" Type="http://schemas.openxmlformats.org/officeDocument/2006/relationships/hyperlink" Target="https://portfoliomanager.energystar.gov/pdf/reference/Thermal%20Conversions.pdf" TargetMode="External"/><Relationship Id="rId32" Type="http://schemas.openxmlformats.org/officeDocument/2006/relationships/hyperlink" Target="https://portfoliomanager.energystar.gov/pdf/reference/Thermal%20Conversions.pdf" TargetMode="External"/><Relationship Id="rId37" Type="http://schemas.openxmlformats.org/officeDocument/2006/relationships/hyperlink" Target="https://portfoliomanager.energystar.gov/pdf/reference/Thermal%20Conversions.pdf" TargetMode="External"/><Relationship Id="rId40" Type="http://schemas.openxmlformats.org/officeDocument/2006/relationships/hyperlink" Target="https://portfoliomanager.energystar.gov/pdf/reference/Thermal%20Conversions.pdf" TargetMode="External"/><Relationship Id="rId45" Type="http://schemas.openxmlformats.org/officeDocument/2006/relationships/hyperlink" Target="https://www.epa.gov/sites/production/files/2018-03/documents/emission-factors_mar_2018_0.pdf" TargetMode="External"/><Relationship Id="rId5" Type="http://schemas.openxmlformats.org/officeDocument/2006/relationships/hyperlink" Target="https://www.rapidtables.com/convert/energy/index.html" TargetMode="External"/><Relationship Id="rId15" Type="http://schemas.openxmlformats.org/officeDocument/2006/relationships/hyperlink" Target="https://portfoliomanager.energystar.gov/pdf/reference/Thermal%20Conversions.pdf" TargetMode="External"/><Relationship Id="rId23" Type="http://schemas.openxmlformats.org/officeDocument/2006/relationships/hyperlink" Target="https://portfoliomanager.energystar.gov/pdf/reference/Thermal%20Conversions.pdf" TargetMode="External"/><Relationship Id="rId28" Type="http://schemas.openxmlformats.org/officeDocument/2006/relationships/hyperlink" Target="https://portfoliomanager.energystar.gov/pdf/reference/Thermal%20Conversions.pdf" TargetMode="External"/><Relationship Id="rId36" Type="http://schemas.openxmlformats.org/officeDocument/2006/relationships/hyperlink" Target="https://portfoliomanager.energystar.gov/pdf/reference/Thermal%20Conversions.pdf" TargetMode="External"/><Relationship Id="rId49" Type="http://schemas.openxmlformats.org/officeDocument/2006/relationships/hyperlink" Target="https://www.epa.gov/sites/production/files/2018-03/documents/emission-factors_mar_2018_0.pdf" TargetMode="External"/><Relationship Id="rId10" Type="http://schemas.openxmlformats.org/officeDocument/2006/relationships/hyperlink" Target="https://portfoliomanager.energystar.gov/pdf/reference/Thermal%20Conversions.pdf" TargetMode="External"/><Relationship Id="rId19" Type="http://schemas.openxmlformats.org/officeDocument/2006/relationships/hyperlink" Target="https://portfoliomanager.energystar.gov/pdf/reference/Thermal%20Conversions.pdf" TargetMode="External"/><Relationship Id="rId31" Type="http://schemas.openxmlformats.org/officeDocument/2006/relationships/hyperlink" Target="https://portfoliomanager.energystar.gov/pdf/reference/Thermal%20Conversions.pdf" TargetMode="External"/><Relationship Id="rId44" Type="http://schemas.openxmlformats.org/officeDocument/2006/relationships/hyperlink" Target="https://www.epa.gov/sites/production/files/2018-03/documents/emission-factors_mar_2018_0.pdf" TargetMode="External"/><Relationship Id="rId4" Type="http://schemas.openxmlformats.org/officeDocument/2006/relationships/hyperlink" Target="https://www.rapidtables.com/convert/energy/index.html" TargetMode="External"/><Relationship Id="rId9" Type="http://schemas.openxmlformats.org/officeDocument/2006/relationships/hyperlink" Target="https://www.unitconverters.net/volume-converter.html" TargetMode="External"/><Relationship Id="rId14" Type="http://schemas.openxmlformats.org/officeDocument/2006/relationships/hyperlink" Target="https://portfoliomanager.energystar.gov/pdf/reference/Thermal%20Conversions.pdf" TargetMode="External"/><Relationship Id="rId22" Type="http://schemas.openxmlformats.org/officeDocument/2006/relationships/hyperlink" Target="https://portfoliomanager.energystar.gov/pdf/reference/Thermal%20Conversions.pdf" TargetMode="External"/><Relationship Id="rId27" Type="http://schemas.openxmlformats.org/officeDocument/2006/relationships/hyperlink" Target="https://portfoliomanager.energystar.gov/pdf/reference/Thermal%20Conversions.pdf" TargetMode="External"/><Relationship Id="rId30" Type="http://schemas.openxmlformats.org/officeDocument/2006/relationships/hyperlink" Target="https://portfoliomanager.energystar.gov/pdf/reference/Thermal%20Conversions.pdf" TargetMode="External"/><Relationship Id="rId35" Type="http://schemas.openxmlformats.org/officeDocument/2006/relationships/hyperlink" Target="https://portfoliomanager.energystar.gov/pdf/reference/Thermal%20Conversions.pdf" TargetMode="External"/><Relationship Id="rId43" Type="http://schemas.openxmlformats.org/officeDocument/2006/relationships/hyperlink" Target="https://www.epa.gov/sites/production/files/2018-03/documents/emission-factors_mar_2018_0.pdf" TargetMode="External"/><Relationship Id="rId48" Type="http://schemas.openxmlformats.org/officeDocument/2006/relationships/hyperlink" Target="https://www.epa.gov/sites/production/files/2018-03/documents/emission-factors_mar_2018_0.pdf" TargetMode="External"/><Relationship Id="rId8" Type="http://schemas.openxmlformats.org/officeDocument/2006/relationships/hyperlink" Target="https://www.unitconverters.net/volume-converter.html" TargetMode="External"/><Relationship Id="rId3" Type="http://schemas.openxmlformats.org/officeDocument/2006/relationships/hyperlink" Target="https://www.eia.gov/tools/faqs/faq.php?id=45&amp;t=8" TargetMode="External"/><Relationship Id="rId12" Type="http://schemas.openxmlformats.org/officeDocument/2006/relationships/hyperlink" Target="https://portfoliomanager.energystar.gov/pdf/reference/Thermal%20Conversions.pdf" TargetMode="External"/><Relationship Id="rId17" Type="http://schemas.openxmlformats.org/officeDocument/2006/relationships/hyperlink" Target="https://portfoliomanager.energystar.gov/pdf/reference/Thermal%20Conversions.pdf" TargetMode="External"/><Relationship Id="rId25" Type="http://schemas.openxmlformats.org/officeDocument/2006/relationships/hyperlink" Target="https://portfoliomanager.energystar.gov/pdf/reference/Thermal%20Conversions.pdf" TargetMode="External"/><Relationship Id="rId33" Type="http://schemas.openxmlformats.org/officeDocument/2006/relationships/hyperlink" Target="https://portfoliomanager.energystar.gov/pdf/reference/Thermal%20Conversions.pdf" TargetMode="External"/><Relationship Id="rId38" Type="http://schemas.openxmlformats.org/officeDocument/2006/relationships/hyperlink" Target="https://portfoliomanager.energystar.gov/pdf/reference/Thermal%20Conversions.pdf" TargetMode="External"/><Relationship Id="rId46" Type="http://schemas.openxmlformats.org/officeDocument/2006/relationships/hyperlink" Target="https://www.epa.gov/sites/production/files/2018-03/documents/emission-factors_mar_2018_0.pdf" TargetMode="External"/><Relationship Id="rId20" Type="http://schemas.openxmlformats.org/officeDocument/2006/relationships/hyperlink" Target="https://portfoliomanager.energystar.gov/pdf/reference/Thermal%20Conversions.pdf" TargetMode="External"/><Relationship Id="rId41" Type="http://schemas.openxmlformats.org/officeDocument/2006/relationships/hyperlink" Target="https://portfoliomanager.energystar.gov/pdf/reference/Thermal%20Conversions.pdf" TargetMode="External"/><Relationship Id="rId1" Type="http://schemas.openxmlformats.org/officeDocument/2006/relationships/hyperlink" Target="https://www.rapidtables.com/convert/energy/index.html" TargetMode="External"/><Relationship Id="rId6" Type="http://schemas.openxmlformats.org/officeDocument/2006/relationships/hyperlink" Target="https://www.rapidtables.com/convert/energy/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8C29C-4DC0-7147-B4C3-8948F2CBB97B}">
  <dimension ref="A12:B73"/>
  <sheetViews>
    <sheetView tabSelected="1" workbookViewId="0">
      <selection activeCell="A15" sqref="A15"/>
    </sheetView>
  </sheetViews>
  <sheetFormatPr baseColWidth="10" defaultRowHeight="16" x14ac:dyDescent="0.2"/>
  <cols>
    <col min="1" max="1" width="166" style="106" customWidth="1"/>
    <col min="2" max="16384" width="10.83203125" style="33"/>
  </cols>
  <sheetData>
    <row r="12" spans="1:1" ht="17" x14ac:dyDescent="0.2">
      <c r="A12" s="107" t="s">
        <v>300</v>
      </c>
    </row>
    <row r="13" spans="1:1" ht="17" x14ac:dyDescent="0.2">
      <c r="A13" s="107" t="s">
        <v>301</v>
      </c>
    </row>
    <row r="14" spans="1:1" x14ac:dyDescent="0.2">
      <c r="A14" s="108"/>
    </row>
    <row r="15" spans="1:1" ht="17" x14ac:dyDescent="0.2">
      <c r="A15" s="108" t="s">
        <v>302</v>
      </c>
    </row>
    <row r="16" spans="1:1" x14ac:dyDescent="0.2">
      <c r="A16" s="108"/>
    </row>
    <row r="17" spans="1:1" ht="19" x14ac:dyDescent="0.2">
      <c r="A17" s="108" t="s">
        <v>303</v>
      </c>
    </row>
    <row r="18" spans="1:1" ht="17" x14ac:dyDescent="0.2">
      <c r="A18" s="109" t="s">
        <v>304</v>
      </c>
    </row>
    <row r="19" spans="1:1" ht="17" x14ac:dyDescent="0.2">
      <c r="A19" s="109" t="s">
        <v>305</v>
      </c>
    </row>
    <row r="20" spans="1:1" x14ac:dyDescent="0.2">
      <c r="A20" s="108"/>
    </row>
    <row r="21" spans="1:1" ht="17" x14ac:dyDescent="0.2">
      <c r="A21" s="108" t="s">
        <v>306</v>
      </c>
    </row>
    <row r="22" spans="1:1" x14ac:dyDescent="0.2">
      <c r="A22" s="108"/>
    </row>
    <row r="23" spans="1:1" ht="34" x14ac:dyDescent="0.2">
      <c r="A23" s="108" t="s">
        <v>307</v>
      </c>
    </row>
    <row r="24" spans="1:1" x14ac:dyDescent="0.2">
      <c r="A24" s="109"/>
    </row>
    <row r="25" spans="1:1" ht="19" x14ac:dyDescent="0.2">
      <c r="A25" s="108" t="s">
        <v>308</v>
      </c>
    </row>
    <row r="26" spans="1:1" ht="17" x14ac:dyDescent="0.2">
      <c r="A26" s="109" t="s">
        <v>309</v>
      </c>
    </row>
    <row r="27" spans="1:1" ht="40" customHeight="1" x14ac:dyDescent="0.2"/>
    <row r="28" spans="1:1" ht="17" x14ac:dyDescent="0.2">
      <c r="A28" s="109" t="s">
        <v>310</v>
      </c>
    </row>
    <row r="29" spans="1:1" x14ac:dyDescent="0.2">
      <c r="A29" s="108"/>
    </row>
    <row r="30" spans="1:1" ht="34" x14ac:dyDescent="0.2">
      <c r="A30" s="108" t="s">
        <v>311</v>
      </c>
    </row>
    <row r="31" spans="1:1" x14ac:dyDescent="0.2">
      <c r="A31" s="109"/>
    </row>
    <row r="32" spans="1:1" ht="19" x14ac:dyDescent="0.2">
      <c r="A32" s="108" t="s">
        <v>312</v>
      </c>
    </row>
    <row r="33" spans="1:2" ht="17" x14ac:dyDescent="0.2">
      <c r="A33" s="109" t="s">
        <v>313</v>
      </c>
    </row>
    <row r="34" spans="1:2" ht="42" customHeight="1" x14ac:dyDescent="0.2"/>
    <row r="35" spans="1:2" ht="17" x14ac:dyDescent="0.2">
      <c r="A35" s="108" t="s">
        <v>314</v>
      </c>
    </row>
    <row r="36" spans="1:2" x14ac:dyDescent="0.2">
      <c r="A36" s="108"/>
    </row>
    <row r="37" spans="1:2" ht="17" x14ac:dyDescent="0.2">
      <c r="A37" s="107" t="s">
        <v>315</v>
      </c>
    </row>
    <row r="38" spans="1:2" x14ac:dyDescent="0.2">
      <c r="A38" s="108"/>
    </row>
    <row r="39" spans="1:2" ht="34" x14ac:dyDescent="0.2">
      <c r="A39" s="110" t="s">
        <v>316</v>
      </c>
      <c r="B39" s="106"/>
    </row>
    <row r="40" spans="1:2" x14ac:dyDescent="0.2">
      <c r="A40" s="111" t="s">
        <v>317</v>
      </c>
    </row>
    <row r="41" spans="1:2" ht="18" x14ac:dyDescent="0.2">
      <c r="A41" s="112" t="s">
        <v>318</v>
      </c>
    </row>
    <row r="42" spans="1:2" ht="18" x14ac:dyDescent="0.2">
      <c r="A42" s="112" t="s">
        <v>319</v>
      </c>
    </row>
    <row r="43" spans="1:2" ht="17" x14ac:dyDescent="0.2">
      <c r="A43" s="110" t="s">
        <v>320</v>
      </c>
    </row>
    <row r="44" spans="1:2" ht="17" x14ac:dyDescent="0.2">
      <c r="A44" s="110" t="s">
        <v>321</v>
      </c>
    </row>
    <row r="45" spans="1:2" x14ac:dyDescent="0.2">
      <c r="A45" s="108"/>
    </row>
    <row r="46" spans="1:2" ht="17" x14ac:dyDescent="0.2">
      <c r="A46" s="107" t="s">
        <v>322</v>
      </c>
    </row>
    <row r="47" spans="1:2" x14ac:dyDescent="0.2">
      <c r="A47" s="108"/>
    </row>
    <row r="48" spans="1:2" ht="17" x14ac:dyDescent="0.2">
      <c r="A48" s="108" t="s">
        <v>323</v>
      </c>
    </row>
    <row r="49" spans="1:1" ht="34" x14ac:dyDescent="0.2">
      <c r="A49" s="110" t="s">
        <v>324</v>
      </c>
    </row>
    <row r="50" spans="1:1" x14ac:dyDescent="0.2">
      <c r="A50" s="111" t="s">
        <v>325</v>
      </c>
    </row>
    <row r="51" spans="1:1" x14ac:dyDescent="0.2">
      <c r="A51" s="111" t="s">
        <v>326</v>
      </c>
    </row>
    <row r="52" spans="1:1" ht="37" x14ac:dyDescent="0.2">
      <c r="A52" s="112" t="s">
        <v>327</v>
      </c>
    </row>
    <row r="53" spans="1:1" ht="17" x14ac:dyDescent="0.2">
      <c r="A53" s="110" t="s">
        <v>328</v>
      </c>
    </row>
    <row r="54" spans="1:1" ht="17" x14ac:dyDescent="0.2">
      <c r="A54" s="110" t="s">
        <v>329</v>
      </c>
    </row>
    <row r="55" spans="1:1" x14ac:dyDescent="0.2">
      <c r="A55" s="108"/>
    </row>
    <row r="56" spans="1:1" ht="17" x14ac:dyDescent="0.2">
      <c r="A56" s="107" t="s">
        <v>330</v>
      </c>
    </row>
    <row r="57" spans="1:1" x14ac:dyDescent="0.2">
      <c r="A57" s="108"/>
    </row>
    <row r="58" spans="1:1" ht="17" x14ac:dyDescent="0.2">
      <c r="A58" s="108" t="s">
        <v>331</v>
      </c>
    </row>
    <row r="59" spans="1:1" x14ac:dyDescent="0.2">
      <c r="A59" s="108"/>
    </row>
    <row r="60" spans="1:1" ht="34" x14ac:dyDescent="0.2">
      <c r="A60" s="108" t="s">
        <v>332</v>
      </c>
    </row>
    <row r="61" spans="1:1" x14ac:dyDescent="0.2">
      <c r="A61" s="108"/>
    </row>
    <row r="62" spans="1:1" x14ac:dyDescent="0.2">
      <c r="A62" s="108"/>
    </row>
    <row r="63" spans="1:1" x14ac:dyDescent="0.2">
      <c r="A63" s="108"/>
    </row>
    <row r="64" spans="1:1" x14ac:dyDescent="0.2">
      <c r="A64" s="108"/>
    </row>
    <row r="65" spans="1:1" x14ac:dyDescent="0.2">
      <c r="A65" s="108"/>
    </row>
    <row r="67" spans="1:1" x14ac:dyDescent="0.2">
      <c r="A67" s="113" t="s">
        <v>333</v>
      </c>
    </row>
    <row r="68" spans="1:1" ht="17" x14ac:dyDescent="0.2">
      <c r="A68" s="114" t="s">
        <v>334</v>
      </c>
    </row>
    <row r="69" spans="1:1" x14ac:dyDescent="0.2">
      <c r="A69" s="113" t="s">
        <v>335</v>
      </c>
    </row>
    <row r="70" spans="1:1" x14ac:dyDescent="0.2">
      <c r="A70" s="115" t="s">
        <v>336</v>
      </c>
    </row>
    <row r="71" spans="1:1" x14ac:dyDescent="0.2">
      <c r="A71" s="115" t="s">
        <v>337</v>
      </c>
    </row>
    <row r="72" spans="1:1" x14ac:dyDescent="0.2">
      <c r="A72" s="113" t="s">
        <v>338</v>
      </c>
    </row>
    <row r="73" spans="1:1" x14ac:dyDescent="0.2">
      <c r="A73" s="116"/>
    </row>
  </sheetData>
  <hyperlinks>
    <hyperlink ref="A40" r:id="rId1" location="_ftn1" display="applewebdata://FDB8B661-0059-45F7-A921-2D3849CDADF3/ - _ftn1" xr:uid="{B0E5163E-D2EB-0345-9AFC-FCA6F033C1EB}"/>
    <hyperlink ref="A50" r:id="rId2" location="_ftn2" display="applewebdata://FDB8B661-0059-45F7-A921-2D3849CDADF3/ - _ftn2" xr:uid="{89A59DEA-560D-BB4E-8E4F-1680CFB376EB}"/>
    <hyperlink ref="A51" r:id="rId3" location="_ftn3" display="applewebdata://FDB8B661-0059-45F7-A921-2D3849CDADF3/ - _ftn3" xr:uid="{310BE7A4-FF48-2A4C-B945-A601A5EAFD7E}"/>
    <hyperlink ref="A70" r:id="rId4" location="_ftnref4" display="applewebdata://FDB8B661-0059-45F7-A921-2D3849CDADF3/ - _ftnref4" xr:uid="{ACEB137B-5D84-4344-8CAD-2916D608C592}"/>
    <hyperlink ref="A71" r:id="rId5" display="https://unfccc.int/process-and-meetings/transparency-and-reporting/reporting-and-review-under-the-convention/greenhouse-gas-inventories-annex-i-parties/national-inventory-submissions-2019" xr:uid="{7BEF4ECF-BB7A-654E-B157-4F4A810745D1}"/>
  </hyperlinks>
  <pageMargins left="0.7" right="0.7" top="0.75" bottom="0.75" header="0.3" footer="0.3"/>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834A8-1231-3148-8F4E-AC17E60F9268}">
  <dimension ref="A1:Q90"/>
  <sheetViews>
    <sheetView zoomScale="93" workbookViewId="0">
      <selection activeCell="G29" sqref="G29"/>
    </sheetView>
  </sheetViews>
  <sheetFormatPr baseColWidth="10" defaultColWidth="8.83203125" defaultRowHeight="16" x14ac:dyDescent="0.2"/>
  <cols>
    <col min="1" max="1" width="12.1640625" customWidth="1"/>
    <col min="2" max="7" width="8.83203125" style="10"/>
    <col min="9" max="9" width="11.33203125" bestFit="1" customWidth="1"/>
  </cols>
  <sheetData>
    <row r="1" spans="1:17" s="69" customFormat="1" x14ac:dyDescent="0.2">
      <c r="A1" s="69" t="s">
        <v>287</v>
      </c>
      <c r="B1" s="105"/>
      <c r="C1" s="105"/>
      <c r="D1" s="105"/>
      <c r="E1" s="105"/>
      <c r="F1" s="105"/>
      <c r="G1" s="105"/>
    </row>
    <row r="2" spans="1:17" x14ac:dyDescent="0.2">
      <c r="A2" s="6" t="s">
        <v>187</v>
      </c>
      <c r="B2" s="12" t="s">
        <v>0</v>
      </c>
      <c r="C2" s="12" t="s">
        <v>1</v>
      </c>
      <c r="D2" s="12" t="s">
        <v>2</v>
      </c>
      <c r="E2" s="12" t="s">
        <v>188</v>
      </c>
      <c r="F2" s="12" t="s">
        <v>178</v>
      </c>
      <c r="G2" s="12" t="s">
        <v>179</v>
      </c>
      <c r="I2" s="10" t="s">
        <v>189</v>
      </c>
      <c r="K2" s="6" t="s">
        <v>187</v>
      </c>
      <c r="L2" s="12" t="s">
        <v>0</v>
      </c>
      <c r="M2" s="12" t="s">
        <v>1</v>
      </c>
      <c r="N2" s="12" t="s">
        <v>2</v>
      </c>
      <c r="O2" s="12" t="s">
        <v>188</v>
      </c>
      <c r="Q2" s="10" t="s">
        <v>214</v>
      </c>
    </row>
    <row r="3" spans="1:17" x14ac:dyDescent="0.2">
      <c r="A3" s="6" t="s">
        <v>106</v>
      </c>
      <c r="B3" s="13">
        <f>'2. Electricity Source'!I3</f>
        <v>0.47157534246575339</v>
      </c>
      <c r="C3" s="13">
        <f>'2. Electricity Source'!J3</f>
        <v>3.7194956001088632E-5</v>
      </c>
      <c r="D3" s="13">
        <f>'2. Electricity Source'!K3</f>
        <v>4.9895672684387189E-6</v>
      </c>
      <c r="E3" s="13">
        <f>'2. Electricity Source'!L3</f>
        <v>0.47400390093440986</v>
      </c>
      <c r="F3" s="13">
        <f>'2. Electricity Source'!M3</f>
        <v>2.4580422752426743E-3</v>
      </c>
      <c r="G3" s="13">
        <f>'2. Electricity Source'!N3</f>
        <v>4.9895672684387193E-4</v>
      </c>
      <c r="K3" s="6" t="s">
        <v>106</v>
      </c>
      <c r="L3" s="13">
        <f>'2. Electricity Source'!P3</f>
        <v>0.47157534246575339</v>
      </c>
      <c r="M3" s="13">
        <f>'2. Electricity Source'!Q3</f>
        <v>9.2987390002721585E-4</v>
      </c>
      <c r="N3" s="13">
        <f>'2. Electricity Source'!R3</f>
        <v>1.4868910459947381E-3</v>
      </c>
      <c r="O3" s="13">
        <f>'2. Electricity Source'!S3</f>
        <v>0.47400390093440986</v>
      </c>
    </row>
    <row r="4" spans="1:17" x14ac:dyDescent="0.2">
      <c r="A4" s="6" t="s">
        <v>107</v>
      </c>
      <c r="B4" s="13">
        <f>'2. Electricity Source'!I4</f>
        <v>0.23817608636487342</v>
      </c>
      <c r="C4" s="13">
        <f>'2. Electricity Source'!J4</f>
        <v>1.0886328585684478E-5</v>
      </c>
      <c r="D4" s="13">
        <f>'2. Electricity Source'!K4</f>
        <v>1.8143880976140797E-6</v>
      </c>
      <c r="E4" s="13">
        <f>'2. Electricity Source'!L4</f>
        <v>0.23902884877075203</v>
      </c>
      <c r="F4" s="13">
        <f>'2. Electricity Source'!M4</f>
        <v>3.5580150594212104E-3</v>
      </c>
      <c r="G4" s="13">
        <f>'2. Electricity Source'!N4</f>
        <v>3.0708518552118296E-4</v>
      </c>
      <c r="K4" s="6" t="s">
        <v>107</v>
      </c>
      <c r="L4" s="13">
        <f>'2. Electricity Source'!P4</f>
        <v>0.23817608636487342</v>
      </c>
      <c r="M4" s="13">
        <f>'2. Electricity Source'!Q4</f>
        <v>2.7215821464211196E-4</v>
      </c>
      <c r="N4" s="13">
        <f>'2. Electricity Source'!R4</f>
        <v>5.4068765308899573E-4</v>
      </c>
      <c r="O4" s="13">
        <f>'2. Electricity Source'!S4</f>
        <v>0.23902884877075203</v>
      </c>
    </row>
    <row r="5" spans="1:17" x14ac:dyDescent="0.2">
      <c r="A5" s="6" t="s">
        <v>108</v>
      </c>
      <c r="B5" s="13">
        <f>'2. Electricity Source'!I5</f>
        <v>0.4637371858840606</v>
      </c>
      <c r="C5" s="13">
        <f>'2. Electricity Source'!J5</f>
        <v>3.4926970879071031E-5</v>
      </c>
      <c r="D5" s="13">
        <f>'2. Electricity Source'!K5</f>
        <v>4.9895672684387189E-6</v>
      </c>
      <c r="E5" s="13">
        <f>'2. Electricity Source'!L5</f>
        <v>0.46609271523178808</v>
      </c>
      <c r="F5" s="13">
        <f>'2. Electricity Source'!M5</f>
        <v>3.2613626054613077E-4</v>
      </c>
      <c r="G5" s="13">
        <f>'2. Electricity Source'!N5</f>
        <v>1.1929601741812573E-4</v>
      </c>
      <c r="K5" s="6" t="s">
        <v>108</v>
      </c>
      <c r="L5" s="13">
        <f>'2. Electricity Source'!P5</f>
        <v>0.4637371858840606</v>
      </c>
      <c r="M5" s="13">
        <f>'2. Electricity Source'!Q5</f>
        <v>8.7317427197677574E-4</v>
      </c>
      <c r="N5" s="13">
        <f>'2. Electricity Source'!R5</f>
        <v>1.4868910459947381E-3</v>
      </c>
      <c r="O5" s="13">
        <f>'2. Electricity Source'!S5</f>
        <v>0.46609271523178808</v>
      </c>
    </row>
    <row r="6" spans="1:17" x14ac:dyDescent="0.2">
      <c r="A6" s="6" t="s">
        <v>109</v>
      </c>
      <c r="B6" s="13">
        <f>'2. Electricity Source'!I6</f>
        <v>0.22522725210922614</v>
      </c>
      <c r="C6" s="13">
        <f>'2. Electricity Source'!J6</f>
        <v>1.5422298829719676E-5</v>
      </c>
      <c r="D6" s="13">
        <f>'2. Electricity Source'!K6</f>
        <v>1.8143880976140797E-6</v>
      </c>
      <c r="E6" s="13">
        <f>'2. Electricity Source'!L6</f>
        <v>0.22620248571169368</v>
      </c>
      <c r="F6" s="13">
        <f>'2. Electricity Source'!M6</f>
        <v>1.8778916810305725E-4</v>
      </c>
      <c r="G6" s="13">
        <f>'2. Electricity Source'!N6</f>
        <v>2.1319060146965435E-5</v>
      </c>
      <c r="K6" s="6" t="s">
        <v>109</v>
      </c>
      <c r="L6" s="13">
        <f>'2. Electricity Source'!P6</f>
        <v>0.22522725210922614</v>
      </c>
      <c r="M6" s="13">
        <f>'2. Electricity Source'!Q6</f>
        <v>3.8555747074299192E-4</v>
      </c>
      <c r="N6" s="13">
        <f>'2. Electricity Source'!R6</f>
        <v>5.4068765308899573E-4</v>
      </c>
      <c r="O6" s="13">
        <f>'2. Electricity Source'!S6</f>
        <v>0.22620248571169368</v>
      </c>
    </row>
    <row r="7" spans="1:17" x14ac:dyDescent="0.2">
      <c r="A7" s="6" t="s">
        <v>110</v>
      </c>
      <c r="B7" s="13">
        <f>'2. Electricity Source'!I7</f>
        <v>0.42260364692007618</v>
      </c>
      <c r="C7" s="13">
        <f>'2. Electricity Source'!J7</f>
        <v>2.9937403610632314E-5</v>
      </c>
      <c r="D7" s="13">
        <f>'2. Electricity Source'!K7</f>
        <v>4.0823732196316787E-6</v>
      </c>
      <c r="E7" s="13">
        <f>'2. Electricity Source'!L7</f>
        <v>0.42460400979769569</v>
      </c>
      <c r="F7" s="13">
        <f>'2. Electricity Source'!M7</f>
        <v>2.5129275151955006E-4</v>
      </c>
      <c r="G7" s="13">
        <f>'2. Electricity Source'!N7</f>
        <v>3.7603193323051796E-4</v>
      </c>
      <c r="K7" s="6" t="s">
        <v>110</v>
      </c>
      <c r="L7" s="13">
        <f>'2. Electricity Source'!P7</f>
        <v>0.42260364692007618</v>
      </c>
      <c r="M7" s="13">
        <f>'2. Electricity Source'!Q7</f>
        <v>7.4843509026580783E-4</v>
      </c>
      <c r="N7" s="13">
        <f>'2. Electricity Source'!R7</f>
        <v>1.2165472194502402E-3</v>
      </c>
      <c r="O7" s="13">
        <f>'2. Electricity Source'!S7</f>
        <v>0.42460400979769569</v>
      </c>
    </row>
    <row r="8" spans="1:17" x14ac:dyDescent="0.2">
      <c r="A8" s="6" t="s">
        <v>111</v>
      </c>
      <c r="B8" s="13">
        <f>'2. Electricity Source'!I8</f>
        <v>0.42268075841422481</v>
      </c>
      <c r="C8" s="13">
        <f>'2. Electricity Source'!J8</f>
        <v>2.9937403610632314E-5</v>
      </c>
      <c r="D8" s="13">
        <f>'2. Electricity Source'!K8</f>
        <v>4.0823732196316787E-6</v>
      </c>
      <c r="E8" s="13">
        <f>'2. Electricity Source'!L8</f>
        <v>0.4246325864102331</v>
      </c>
      <c r="F8" s="13">
        <f>'2. Electricity Source'!M8</f>
        <v>1.6556291390728474E-4</v>
      </c>
      <c r="G8" s="13">
        <f>'2. Electricity Source'!N8</f>
        <v>1.2609997278417853E-4</v>
      </c>
      <c r="K8" s="6" t="s">
        <v>111</v>
      </c>
      <c r="L8" s="13">
        <f>'2. Electricity Source'!P8</f>
        <v>0.42268075841422481</v>
      </c>
      <c r="M8" s="13">
        <f>'2. Electricity Source'!Q8</f>
        <v>7.4843509026580783E-4</v>
      </c>
      <c r="N8" s="13">
        <f>'2. Electricity Source'!R8</f>
        <v>1.2165472194502402E-3</v>
      </c>
      <c r="O8" s="13">
        <f>'2. Electricity Source'!S8</f>
        <v>0.4246325864102331</v>
      </c>
    </row>
    <row r="9" spans="1:17" x14ac:dyDescent="0.2">
      <c r="A9" s="6" t="s">
        <v>112</v>
      </c>
      <c r="B9" s="13">
        <f>'2. Electricity Source'!I9</f>
        <v>0.50380522543772122</v>
      </c>
      <c r="C9" s="13">
        <f>'2. Electricity Source'!J9</f>
        <v>5.352444887961534E-5</v>
      </c>
      <c r="D9" s="13">
        <f>'2. Electricity Source'!K9</f>
        <v>8.1647464392633573E-6</v>
      </c>
      <c r="E9" s="13">
        <f>'2. Electricity Source'!L9</f>
        <v>0.50760999727841782</v>
      </c>
      <c r="F9" s="13">
        <f>'2. Electricity Source'!M9</f>
        <v>3.4391726390274879E-3</v>
      </c>
      <c r="G9" s="13">
        <f>'2. Electricity Source'!N9</f>
        <v>1.8003265898575704E-3</v>
      </c>
      <c r="K9" s="6" t="s">
        <v>112</v>
      </c>
      <c r="L9" s="13">
        <f>'2. Electricity Source'!P9</f>
        <v>0.50380522543772122</v>
      </c>
      <c r="M9" s="13">
        <f>'2. Electricity Source'!Q9</f>
        <v>1.3381112219903834E-3</v>
      </c>
      <c r="N9" s="13">
        <f>'2. Electricity Source'!R9</f>
        <v>2.4330944389004804E-3</v>
      </c>
      <c r="O9" s="13">
        <f>'2. Electricity Source'!S9</f>
        <v>0.50760999727841782</v>
      </c>
    </row>
    <row r="10" spans="1:17" x14ac:dyDescent="0.2">
      <c r="A10" s="6" t="s">
        <v>113</v>
      </c>
      <c r="B10" s="13">
        <f>'2. Electricity Source'!I10</f>
        <v>0.75748117572348728</v>
      </c>
      <c r="C10" s="13">
        <f>'2. Electricity Source'!J10</f>
        <v>8.1647464392633587E-5</v>
      </c>
      <c r="D10" s="13">
        <f>'2. Electricity Source'!K10</f>
        <v>1.2247119658895036E-5</v>
      </c>
      <c r="E10" s="13">
        <f>'2. Electricity Source'!L10</f>
        <v>0.76322053887326491</v>
      </c>
      <c r="F10" s="13">
        <f>'2. Electricity Source'!M10</f>
        <v>1.7114215730744805E-3</v>
      </c>
      <c r="G10" s="13">
        <f>'2. Electricity Source'!N10</f>
        <v>3.6274154041549488E-3</v>
      </c>
      <c r="K10" s="6" t="s">
        <v>113</v>
      </c>
      <c r="L10" s="13">
        <f>'2. Electricity Source'!P10</f>
        <v>0.75748117572348728</v>
      </c>
      <c r="M10" s="13">
        <f>'2. Electricity Source'!Q10</f>
        <v>2.0411866098158397E-3</v>
      </c>
      <c r="N10" s="13">
        <f>'2. Electricity Source'!R10</f>
        <v>3.6496416583507206E-3</v>
      </c>
      <c r="O10" s="13">
        <f>'2. Electricity Source'!S10</f>
        <v>0.76322053887326491</v>
      </c>
    </row>
    <row r="11" spans="1:17" x14ac:dyDescent="0.2">
      <c r="A11" s="6" t="s">
        <v>190</v>
      </c>
      <c r="B11" s="13">
        <f>'2. Electricity Source'!I11</f>
        <v>0.76114306450149682</v>
      </c>
      <c r="C11" s="13">
        <f>'2. Electricity Source'!J11</f>
        <v>7.6657897124194859E-5</v>
      </c>
      <c r="D11" s="13">
        <f>'2. Electricity Source'!K11</f>
        <v>1.1339925610087997E-5</v>
      </c>
      <c r="E11" s="13">
        <f>'2. Electricity Source'!L11</f>
        <v>0.76642066588043178</v>
      </c>
      <c r="F11" s="13">
        <f>'2. Electricity Source'!M11</f>
        <v>4.0234056064592216E-4</v>
      </c>
      <c r="G11" s="13">
        <f>'2. Electricity Source'!N11</f>
        <v>4.0415494874353625E-4</v>
      </c>
      <c r="K11" s="6" t="s">
        <v>190</v>
      </c>
      <c r="L11" s="13">
        <f>'2. Electricity Source'!P11</f>
        <v>0.76114306450149682</v>
      </c>
      <c r="M11" s="13">
        <f>'2. Electricity Source'!Q11</f>
        <v>1.9164474281048714E-3</v>
      </c>
      <c r="N11" s="13">
        <f>'2. Electricity Source'!R11</f>
        <v>3.3792978318062231E-3</v>
      </c>
      <c r="O11" s="13">
        <f>'2. Electricity Source'!S11</f>
        <v>0.76642066588043178</v>
      </c>
    </row>
    <row r="12" spans="1:17" x14ac:dyDescent="0.2">
      <c r="A12" s="6" t="s">
        <v>114</v>
      </c>
      <c r="B12" s="13">
        <f>'2. Electricity Source'!I12</f>
        <v>0.56239136351265528</v>
      </c>
      <c r="C12" s="13">
        <f>'2. Electricity Source'!J12</f>
        <v>6.2596389367685739E-5</v>
      </c>
      <c r="D12" s="13">
        <f>'2. Electricity Source'!K12</f>
        <v>9.0719404880703976E-6</v>
      </c>
      <c r="E12" s="13">
        <f>'2. Electricity Source'!L12</f>
        <v>0.56663385648190145</v>
      </c>
      <c r="F12" s="13">
        <f>'2. Electricity Source'!M12</f>
        <v>4.5767939762315153E-4</v>
      </c>
      <c r="G12" s="13">
        <f>'2. Electricity Source'!N12</f>
        <v>6.1280957996915546E-4</v>
      </c>
      <c r="K12" s="6" t="s">
        <v>114</v>
      </c>
      <c r="L12" s="13">
        <f>'2. Electricity Source'!P12</f>
        <v>0.56239136351265528</v>
      </c>
      <c r="M12" s="13">
        <f>'2. Electricity Source'!Q12</f>
        <v>1.5649097341921435E-3</v>
      </c>
      <c r="N12" s="13">
        <f>'2. Electricity Source'!R12</f>
        <v>2.7034382654449783E-3</v>
      </c>
      <c r="O12" s="13">
        <f>'2. Electricity Source'!S12</f>
        <v>0.56663385648190145</v>
      </c>
    </row>
    <row r="13" spans="1:17" x14ac:dyDescent="0.2">
      <c r="A13" s="6" t="s">
        <v>115</v>
      </c>
      <c r="B13" s="13">
        <f>'2. Electricity Source'!I13</f>
        <v>0.23691916901025128</v>
      </c>
      <c r="C13" s="13">
        <f>'2. Electricity Source'!J13</f>
        <v>3.7194956001088632E-5</v>
      </c>
      <c r="D13" s="13">
        <f>'2. Electricity Source'!K13</f>
        <v>4.9895672684387189E-6</v>
      </c>
      <c r="E13" s="13">
        <f>'2. Electricity Source'!L13</f>
        <v>0.23930146058241855</v>
      </c>
      <c r="F13" s="13">
        <f>'2. Electricity Source'!M13</f>
        <v>1.5875895854123196E-4</v>
      </c>
      <c r="G13" s="13">
        <f>'2. Electricity Source'!N13</f>
        <v>6.1689195318878704E-5</v>
      </c>
      <c r="K13" s="6" t="s">
        <v>115</v>
      </c>
      <c r="L13" s="13">
        <f>'2. Electricity Source'!P13</f>
        <v>0.23691916901025128</v>
      </c>
      <c r="M13" s="13">
        <f>'2. Electricity Source'!Q13</f>
        <v>9.2987390002721585E-4</v>
      </c>
      <c r="N13" s="13">
        <f>'2. Electricity Source'!R13</f>
        <v>1.4868910459947381E-3</v>
      </c>
      <c r="O13" s="13">
        <f>'2. Electricity Source'!S13</f>
        <v>0.23930146058241855</v>
      </c>
    </row>
    <row r="14" spans="1:17" x14ac:dyDescent="0.2">
      <c r="A14" s="6" t="s">
        <v>116</v>
      </c>
      <c r="B14" s="13">
        <f>'2. Electricity Source'!I14</f>
        <v>0.28986528168375214</v>
      </c>
      <c r="C14" s="13">
        <f>'2. Electricity Source'!J14</f>
        <v>2.9030209561825275E-5</v>
      </c>
      <c r="D14" s="13">
        <f>'2. Electricity Source'!K14</f>
        <v>4.0823732196316787E-6</v>
      </c>
      <c r="E14" s="13">
        <f>'2. Electricity Source'!L14</f>
        <v>0.29182754241132181</v>
      </c>
      <c r="F14" s="13">
        <f>'2. Electricity Source'!M14</f>
        <v>2.6172548308083096E-4</v>
      </c>
      <c r="G14" s="13">
        <f>'2. Electricity Source'!N14</f>
        <v>1.7100607820012701E-4</v>
      </c>
      <c r="K14" s="6" t="s">
        <v>116</v>
      </c>
      <c r="L14" s="13">
        <f>'2. Electricity Source'!P14</f>
        <v>0.28986528168375214</v>
      </c>
      <c r="M14" s="13">
        <f>'2. Electricity Source'!Q14</f>
        <v>7.2575523904563183E-4</v>
      </c>
      <c r="N14" s="13">
        <f>'2. Electricity Source'!R14</f>
        <v>1.2165472194502402E-3</v>
      </c>
      <c r="O14" s="13">
        <f>'2. Electricity Source'!S14</f>
        <v>0.29182754241132181</v>
      </c>
    </row>
    <row r="15" spans="1:17" x14ac:dyDescent="0.2">
      <c r="A15" s="6" t="s">
        <v>117</v>
      </c>
      <c r="B15" s="13">
        <f>'2. Electricity Source'!I15</f>
        <v>0.27053161571260093</v>
      </c>
      <c r="C15" s="13">
        <f>'2. Electricity Source'!J15</f>
        <v>9.9791345368774378E-6</v>
      </c>
      <c r="D15" s="13">
        <f>'2. Electricity Source'!K15</f>
        <v>1.3607910732105598E-6</v>
      </c>
      <c r="E15" s="13">
        <f>'2. Electricity Source'!L15</f>
        <v>0.27114306450149683</v>
      </c>
      <c r="F15" s="13">
        <f>'2. Electricity Source'!M15</f>
        <v>1.1294565907647646E-4</v>
      </c>
      <c r="G15" s="13">
        <f>'2. Electricity Source'!N15</f>
        <v>1.1793522634491517E-5</v>
      </c>
      <c r="K15" s="6" t="s">
        <v>117</v>
      </c>
      <c r="L15" s="13">
        <f>'2. Electricity Source'!P15</f>
        <v>0.27053161571260093</v>
      </c>
      <c r="M15" s="13">
        <f>'2. Electricity Source'!Q15</f>
        <v>2.4947836342193596E-4</v>
      </c>
      <c r="N15" s="13">
        <f>'2. Electricity Source'!R15</f>
        <v>4.0551573981674683E-4</v>
      </c>
      <c r="O15" s="13">
        <f>'2. Electricity Source'!S15</f>
        <v>0.27114306450149683</v>
      </c>
    </row>
    <row r="16" spans="1:17" x14ac:dyDescent="0.2">
      <c r="A16" s="6" t="s">
        <v>118</v>
      </c>
      <c r="B16" s="13">
        <f>'2. Electricity Source'!I16</f>
        <v>0.53716819377664882</v>
      </c>
      <c r="C16" s="13">
        <f>'2. Electricity Source'!J16</f>
        <v>6.3049986392089264E-5</v>
      </c>
      <c r="D16" s="13">
        <f>'2. Electricity Source'!K16</f>
        <v>8.1647464392633573E-6</v>
      </c>
      <c r="E16" s="13">
        <f>'2. Electricity Source'!L16</f>
        <v>0.54118252744261985</v>
      </c>
      <c r="F16" s="13">
        <f>'2. Electricity Source'!M16</f>
        <v>3.7557833620611449E-4</v>
      </c>
      <c r="G16" s="13">
        <f>'2. Electricity Source'!N16</f>
        <v>1.0614170371042366E-4</v>
      </c>
      <c r="K16" s="6" t="s">
        <v>118</v>
      </c>
      <c r="L16" s="13">
        <f>'2. Electricity Source'!P16</f>
        <v>0.53716819377664882</v>
      </c>
      <c r="M16" s="13">
        <f>'2. Electricity Source'!Q16</f>
        <v>1.5762496598022316E-3</v>
      </c>
      <c r="N16" s="13">
        <f>'2. Electricity Source'!R16</f>
        <v>2.4330944389004804E-3</v>
      </c>
      <c r="O16" s="13">
        <f>'2. Electricity Source'!S16</f>
        <v>0.54118252744261985</v>
      </c>
    </row>
    <row r="17" spans="1:15" x14ac:dyDescent="0.2">
      <c r="A17" s="6" t="s">
        <v>119</v>
      </c>
      <c r="B17" s="13">
        <f>'2. Electricity Source'!I17</f>
        <v>0.11481085004082373</v>
      </c>
      <c r="C17" s="13">
        <f>'2. Electricity Source'!J17</f>
        <v>8.1647464392633573E-6</v>
      </c>
      <c r="D17" s="13">
        <f>'2. Electricity Source'!K17</f>
        <v>9.0719404880703984E-7</v>
      </c>
      <c r="E17" s="13">
        <f>'2. Electricity Source'!L17</f>
        <v>0.11516329492878526</v>
      </c>
      <c r="F17" s="13">
        <f>'2. Electricity Source'!M17</f>
        <v>6.1689195318878704E-5</v>
      </c>
      <c r="G17" s="13">
        <f>'2. Electricity Source'!N17</f>
        <v>4.1730926245123835E-5</v>
      </c>
      <c r="K17" s="6" t="s">
        <v>119</v>
      </c>
      <c r="L17" s="13">
        <f>'2. Electricity Source'!P17</f>
        <v>0.11481085004082373</v>
      </c>
      <c r="M17" s="13">
        <f>'2. Electricity Source'!Q17</f>
        <v>2.0411866098158393E-4</v>
      </c>
      <c r="N17" s="13">
        <f>'2. Electricity Source'!R17</f>
        <v>2.7034382654449787E-4</v>
      </c>
      <c r="O17" s="13">
        <f>'2. Electricity Source'!S17</f>
        <v>0.11516329492878526</v>
      </c>
    </row>
    <row r="18" spans="1:15" x14ac:dyDescent="0.2">
      <c r="A18" s="6" t="s">
        <v>120</v>
      </c>
      <c r="B18" s="13">
        <f>'2. Electricity Source'!I18</f>
        <v>0.32476004717409052</v>
      </c>
      <c r="C18" s="13">
        <f>'2. Electricity Source'!J18</f>
        <v>2.7669418488614712E-5</v>
      </c>
      <c r="D18" s="13">
        <f>'2. Electricity Source'!K18</f>
        <v>3.6287761952281594E-6</v>
      </c>
      <c r="E18" s="13">
        <f>'2. Electricity Source'!L18</f>
        <v>0.32658033203302189</v>
      </c>
      <c r="F18" s="13">
        <f>'2. Electricity Source'!M18</f>
        <v>1.3063594302821372E-4</v>
      </c>
      <c r="G18" s="13">
        <f>'2. Electricity Source'!N18</f>
        <v>2.1772657171368953E-4</v>
      </c>
      <c r="K18" s="6" t="s">
        <v>120</v>
      </c>
      <c r="L18" s="13">
        <f>'2. Electricity Source'!P18</f>
        <v>0.32476004717409052</v>
      </c>
      <c r="M18" s="13">
        <f>'2. Electricity Source'!Q18</f>
        <v>6.9173546221536783E-4</v>
      </c>
      <c r="N18" s="13">
        <f>'2. Electricity Source'!R18</f>
        <v>1.0813753061779915E-3</v>
      </c>
      <c r="O18" s="13">
        <f>'2. Electricity Source'!S18</f>
        <v>0.32658033203302189</v>
      </c>
    </row>
    <row r="19" spans="1:15" x14ac:dyDescent="0.2">
      <c r="A19" s="6" t="s">
        <v>121</v>
      </c>
      <c r="B19" s="13">
        <f>'2. Electricity Source'!I19</f>
        <v>0.59537331035108398</v>
      </c>
      <c r="C19" s="13">
        <f>'2. Electricity Source'!J19</f>
        <v>5.8514016148054061E-5</v>
      </c>
      <c r="D19" s="13">
        <f>'2. Electricity Source'!K19</f>
        <v>8.1647464392633573E-6</v>
      </c>
      <c r="E19" s="13">
        <f>'2. Electricity Source'!L19</f>
        <v>0.59928558468656445</v>
      </c>
      <c r="F19" s="13">
        <f>'2. Electricity Source'!M19</f>
        <v>3.5924884332758778E-4</v>
      </c>
      <c r="G19" s="13">
        <f>'2. Electricity Source'!N19</f>
        <v>5.8786174362696173E-4</v>
      </c>
      <c r="K19" s="6" t="s">
        <v>121</v>
      </c>
      <c r="L19" s="13">
        <f>'2. Electricity Source'!P19</f>
        <v>0.59537331035108398</v>
      </c>
      <c r="M19" s="13">
        <f>'2. Electricity Source'!Q19</f>
        <v>1.4628504037013516E-3</v>
      </c>
      <c r="N19" s="13">
        <f>'2. Electricity Source'!R19</f>
        <v>2.4330944389004804E-3</v>
      </c>
      <c r="O19" s="13">
        <f>'2. Electricity Source'!S19</f>
        <v>0.59928558468656445</v>
      </c>
    </row>
    <row r="20" spans="1:15" x14ac:dyDescent="0.2">
      <c r="A20" s="6" t="s">
        <v>122</v>
      </c>
      <c r="B20" s="13">
        <f>'2. Electricity Source'!I20</f>
        <v>0.52893767576884698</v>
      </c>
      <c r="C20" s="13">
        <f>'2. Electricity Source'!J20</f>
        <v>5.3070851855211829E-5</v>
      </c>
      <c r="D20" s="13">
        <f>'2. Electricity Source'!K20</f>
        <v>7.711149414859838E-6</v>
      </c>
      <c r="E20" s="13">
        <f>'2. Electricity Source'!L20</f>
        <v>0.53253606096344008</v>
      </c>
      <c r="F20" s="13">
        <f>'2. Electricity Source'!M20</f>
        <v>2.9574525991109496E-4</v>
      </c>
      <c r="G20" s="13">
        <f>'2. Electricity Source'!N20</f>
        <v>4.1957724757325592E-4</v>
      </c>
      <c r="K20" s="6" t="s">
        <v>122</v>
      </c>
      <c r="L20" s="13">
        <f>'2. Electricity Source'!P20</f>
        <v>0.52893767576884698</v>
      </c>
      <c r="M20" s="13">
        <f>'2. Electricity Source'!Q20</f>
        <v>1.3267712963802958E-3</v>
      </c>
      <c r="N20" s="13">
        <f>'2. Electricity Source'!R20</f>
        <v>2.2979225256282319E-3</v>
      </c>
      <c r="O20" s="13">
        <f>'2. Electricity Source'!S20</f>
        <v>0.53253606096344008</v>
      </c>
    </row>
    <row r="21" spans="1:15" x14ac:dyDescent="0.2">
      <c r="A21" s="6" t="s">
        <v>123</v>
      </c>
      <c r="B21" s="13">
        <f>'2. Electricity Source'!I21</f>
        <v>0.57770797423568898</v>
      </c>
      <c r="C21" s="13">
        <f>'2. Electricity Source'!J21</f>
        <v>5.5792434001632948E-5</v>
      </c>
      <c r="D21" s="13">
        <f>'2. Electricity Source'!K21</f>
        <v>8.1647464392633573E-6</v>
      </c>
      <c r="E21" s="13">
        <f>'2. Electricity Source'!L21</f>
        <v>0.58148598385194594</v>
      </c>
      <c r="F21" s="13">
        <f>'2. Electricity Source'!M21</f>
        <v>3.1252834981402515E-4</v>
      </c>
      <c r="G21" s="13">
        <f>'2. Electricity Source'!N21</f>
        <v>1.8960355620067132E-4</v>
      </c>
      <c r="K21" s="6" t="s">
        <v>123</v>
      </c>
      <c r="L21" s="13">
        <f>'2. Electricity Source'!P21</f>
        <v>0.57770797423568898</v>
      </c>
      <c r="M21" s="13">
        <f>'2. Electricity Source'!Q21</f>
        <v>1.3948108500408238E-3</v>
      </c>
      <c r="N21" s="13">
        <f>'2. Electricity Source'!R21</f>
        <v>2.4330944389004804E-3</v>
      </c>
      <c r="O21" s="13">
        <f>'2. Electricity Source'!S21</f>
        <v>0.58148598385194594</v>
      </c>
    </row>
    <row r="22" spans="1:15" x14ac:dyDescent="0.2">
      <c r="A22" s="6" t="s">
        <v>124</v>
      </c>
      <c r="B22" s="13">
        <f>'2. Electricity Source'!I22</f>
        <v>0.52761816202485701</v>
      </c>
      <c r="C22" s="13">
        <f>'2. Electricity Source'!J22</f>
        <v>5.6246031026036466E-5</v>
      </c>
      <c r="D22" s="13">
        <f>'2. Electricity Source'!K22</f>
        <v>8.1647464392633573E-6</v>
      </c>
      <c r="E22" s="13">
        <f>'2. Electricity Source'!L22</f>
        <v>0.53143699537331035</v>
      </c>
      <c r="F22" s="13">
        <f>'2. Electricity Source'!M22</f>
        <v>3.2658985757053435E-4</v>
      </c>
      <c r="G22" s="13">
        <f>'2. Electricity Source'!N22</f>
        <v>1.5104780912637215E-4</v>
      </c>
      <c r="K22" s="6" t="s">
        <v>124</v>
      </c>
      <c r="L22" s="13">
        <f>'2. Electricity Source'!P22</f>
        <v>0.52761816202485701</v>
      </c>
      <c r="M22" s="13">
        <f>'2. Electricity Source'!Q22</f>
        <v>1.4061507756509117E-3</v>
      </c>
      <c r="N22" s="13">
        <f>'2. Electricity Source'!R22</f>
        <v>2.4330944389004804E-3</v>
      </c>
      <c r="O22" s="13">
        <f>'2. Electricity Source'!S22</f>
        <v>0.53143699537331035</v>
      </c>
    </row>
    <row r="23" spans="1:15" x14ac:dyDescent="0.2">
      <c r="A23" s="6" t="s">
        <v>125</v>
      </c>
      <c r="B23" s="13">
        <f>'2. Electricity Source'!I23</f>
        <v>0.52915812392270711</v>
      </c>
      <c r="C23" s="13">
        <f>'2. Electricity Source'!J23</f>
        <v>4.1277329220720311E-5</v>
      </c>
      <c r="D23" s="13">
        <f>'2. Electricity Source'!K23</f>
        <v>5.8967613172457583E-6</v>
      </c>
      <c r="E23" s="13">
        <f>'2. Electricity Source'!L23</f>
        <v>0.53195817835435</v>
      </c>
      <c r="F23" s="13">
        <f>'2. Electricity Source'!M23</f>
        <v>4.0007257552390459E-4</v>
      </c>
      <c r="G23" s="13">
        <f>'2. Electricity Source'!N23</f>
        <v>5.6336750430917174E-4</v>
      </c>
      <c r="K23" s="6" t="s">
        <v>125</v>
      </c>
      <c r="L23" s="13">
        <f>'2. Electricity Source'!P23</f>
        <v>0.52915812392270711</v>
      </c>
      <c r="M23" s="13">
        <f>'2. Electricity Source'!Q23</f>
        <v>1.0319332305180077E-3</v>
      </c>
      <c r="N23" s="13">
        <f>'2. Electricity Source'!R23</f>
        <v>1.7572348725392361E-3</v>
      </c>
      <c r="O23" s="13">
        <f>'2. Electricity Source'!S23</f>
        <v>0.53195817835435</v>
      </c>
    </row>
    <row r="24" spans="1:15" x14ac:dyDescent="0.2">
      <c r="A24" s="6" t="s">
        <v>126</v>
      </c>
      <c r="B24" s="13">
        <f>'2. Electricity Source'!I24</f>
        <v>0.38766442892134628</v>
      </c>
      <c r="C24" s="13">
        <f>'2. Electricity Source'!J24</f>
        <v>2.4947836342193593E-5</v>
      </c>
      <c r="D24" s="13">
        <f>'2. Electricity Source'!K24</f>
        <v>3.6287761952281594E-6</v>
      </c>
      <c r="E24" s="13">
        <f>'2. Electricity Source'!L24</f>
        <v>0.38935362424022496</v>
      </c>
      <c r="F24" s="13">
        <f>'2. Electricity Source'!M24</f>
        <v>3.0436360337476187E-4</v>
      </c>
      <c r="G24" s="13">
        <f>'2. Electricity Source'!N24</f>
        <v>4.3545314342737906E-4</v>
      </c>
      <c r="K24" s="6" t="s">
        <v>126</v>
      </c>
      <c r="L24" s="13">
        <f>'2. Electricity Source'!P24</f>
        <v>0.38766442892134628</v>
      </c>
      <c r="M24" s="13">
        <f>'2. Electricity Source'!Q24</f>
        <v>6.2369590855483983E-4</v>
      </c>
      <c r="N24" s="13">
        <f>'2. Electricity Source'!R24</f>
        <v>1.0813753061779915E-3</v>
      </c>
      <c r="O24" s="13">
        <f>'2. Electricity Source'!S24</f>
        <v>0.38935362424022496</v>
      </c>
    </row>
    <row r="25" spans="1:15" x14ac:dyDescent="0.2">
      <c r="A25" s="6" t="s">
        <v>127</v>
      </c>
      <c r="B25" s="13">
        <f>'2. Electricity Source'!I25</f>
        <v>0.75485348816111764</v>
      </c>
      <c r="C25" s="13">
        <f>'2. Electricity Source'!J25</f>
        <v>8.3915449514651168E-5</v>
      </c>
      <c r="D25" s="13">
        <f>'2. Electricity Source'!K25</f>
        <v>1.2247119658895036E-5</v>
      </c>
      <c r="E25" s="13">
        <f>'2. Electricity Source'!L25</f>
        <v>0.76058332577338283</v>
      </c>
      <c r="F25" s="13">
        <f>'2. Electricity Source'!M25</f>
        <v>3.5879524630318425E-4</v>
      </c>
      <c r="G25" s="13">
        <f>'2. Electricity Source'!N25</f>
        <v>1.1285493967159574E-3</v>
      </c>
      <c r="K25" s="6" t="s">
        <v>127</v>
      </c>
      <c r="L25" s="13">
        <f>'2. Electricity Source'!P25</f>
        <v>0.75485348816111764</v>
      </c>
      <c r="M25" s="13">
        <f>'2. Electricity Source'!Q25</f>
        <v>2.0978862378662794E-3</v>
      </c>
      <c r="N25" s="13">
        <f>'2. Electricity Source'!R25</f>
        <v>3.6496416583507206E-3</v>
      </c>
      <c r="O25" s="13">
        <f>'2. Electricity Source'!S25</f>
        <v>0.76058332577338283</v>
      </c>
    </row>
    <row r="26" spans="1:15" x14ac:dyDescent="0.2">
      <c r="A26" s="6" t="s">
        <v>128</v>
      </c>
      <c r="B26" s="13">
        <f>'2. Electricity Source'!I26</f>
        <v>0.46626508210106149</v>
      </c>
      <c r="C26" s="13">
        <f>'2. Electricity Source'!J26</f>
        <v>3.6741358976685108E-5</v>
      </c>
      <c r="D26" s="13">
        <f>'2. Electricity Source'!K26</f>
        <v>5.4431642928422391E-6</v>
      </c>
      <c r="E26" s="13">
        <f>'2. Electricity Source'!L26</f>
        <v>0.46877937040733009</v>
      </c>
      <c r="F26" s="13">
        <f>'2. Electricity Source'!M26</f>
        <v>1.9640751156672413E-4</v>
      </c>
      <c r="G26" s="13">
        <f>'2. Electricity Source'!N26</f>
        <v>1.3471831624784538E-4</v>
      </c>
      <c r="K26" s="6" t="s">
        <v>128</v>
      </c>
      <c r="L26" s="13">
        <f>'2. Electricity Source'!P26</f>
        <v>0.46626508210106149</v>
      </c>
      <c r="M26" s="13">
        <f>'2. Electricity Source'!Q26</f>
        <v>9.1853397441712774E-4</v>
      </c>
      <c r="N26" s="13">
        <f>'2. Electricity Source'!R26</f>
        <v>1.6220629592669873E-3</v>
      </c>
      <c r="O26" s="13">
        <f>'2. Electricity Source'!S26</f>
        <v>0.46877937040733009</v>
      </c>
    </row>
    <row r="27" spans="1:15" x14ac:dyDescent="0.2">
      <c r="A27" s="6" t="s">
        <v>129</v>
      </c>
      <c r="B27" s="13">
        <f>'2. Electricity Source'!I27</f>
        <v>0.4679021137621337</v>
      </c>
      <c r="C27" s="13">
        <f>'2. Electricity Source'!J27</f>
        <v>4.399891136714143E-5</v>
      </c>
      <c r="D27" s="13">
        <f>'2. Electricity Source'!K27</f>
        <v>6.3503583416492785E-6</v>
      </c>
      <c r="E27" s="13">
        <f>'2. Electricity Source'!L27</f>
        <v>0.47089131815295288</v>
      </c>
      <c r="F27" s="13">
        <f>'2. Electricity Source'!M27</f>
        <v>2.2861290029937403E-4</v>
      </c>
      <c r="G27" s="13">
        <f>'2. Electricity Source'!N27</f>
        <v>2.8077655810577876E-4</v>
      </c>
      <c r="K27" s="6" t="s">
        <v>129</v>
      </c>
      <c r="L27" s="13">
        <f>'2. Electricity Source'!P27</f>
        <v>0.4679021137621337</v>
      </c>
      <c r="M27" s="13">
        <f>'2. Electricity Source'!Q27</f>
        <v>1.0999727841785358E-3</v>
      </c>
      <c r="N27" s="13">
        <f>'2. Electricity Source'!R27</f>
        <v>1.892406785811485E-3</v>
      </c>
      <c r="O27" s="13">
        <f>'2. Electricity Source'!S27</f>
        <v>0.47089131815295288</v>
      </c>
    </row>
    <row r="28" spans="1:15" x14ac:dyDescent="0.2">
      <c r="A28" s="6" t="s">
        <v>130</v>
      </c>
      <c r="B28" s="13">
        <f>'2. Electricity Source'!I28</f>
        <v>0.33717136895581962</v>
      </c>
      <c r="C28" s="13">
        <f>'2. Electricity Source'!J28</f>
        <v>3.0391000635035835E-5</v>
      </c>
      <c r="D28" s="13">
        <f>'2. Electricity Source'!K28</f>
        <v>4.0823732196316787E-6</v>
      </c>
      <c r="E28" s="13">
        <f>'2. Electricity Source'!L28</f>
        <v>0.33906967250294839</v>
      </c>
      <c r="F28" s="13">
        <f>'2. Electricity Source'!M28</f>
        <v>1.9323233239589946E-4</v>
      </c>
      <c r="G28" s="13">
        <f>'2. Electricity Source'!N28</f>
        <v>1.1929601741812573E-4</v>
      </c>
      <c r="K28" s="6" t="s">
        <v>130</v>
      </c>
      <c r="L28" s="13">
        <f>'2. Electricity Source'!P28</f>
        <v>0.33717136895581962</v>
      </c>
      <c r="M28" s="13">
        <f>'2. Electricity Source'!Q28</f>
        <v>7.5977501587589584E-4</v>
      </c>
      <c r="N28" s="13">
        <f>'2. Electricity Source'!R28</f>
        <v>1.2165472194502402E-3</v>
      </c>
      <c r="O28" s="13">
        <f>'2. Electricity Source'!S28</f>
        <v>0.33906967250294839</v>
      </c>
    </row>
    <row r="29" spans="1:15" x14ac:dyDescent="0.2">
      <c r="A29" s="22"/>
      <c r="B29" s="32"/>
      <c r="C29" s="32"/>
      <c r="D29" s="32"/>
      <c r="E29" s="32"/>
      <c r="F29" s="32"/>
      <c r="G29" s="32"/>
      <c r="K29" s="22"/>
      <c r="L29" s="32"/>
      <c r="M29" s="32"/>
      <c r="N29" s="32"/>
      <c r="O29" s="32"/>
    </row>
    <row r="30" spans="1:15" s="69" customFormat="1" x14ac:dyDescent="0.2">
      <c r="A30" s="104" t="s">
        <v>290</v>
      </c>
      <c r="B30" s="105"/>
      <c r="C30" s="105"/>
      <c r="D30" s="105"/>
      <c r="E30" s="105"/>
      <c r="F30" s="105"/>
      <c r="G30" s="105"/>
    </row>
    <row r="31" spans="1:15" x14ac:dyDescent="0.2">
      <c r="A31" s="6" t="s">
        <v>176</v>
      </c>
      <c r="B31" s="12" t="s">
        <v>0</v>
      </c>
      <c r="C31" s="12" t="s">
        <v>1</v>
      </c>
      <c r="D31" s="12" t="s">
        <v>2</v>
      </c>
      <c r="E31" s="12" t="s">
        <v>188</v>
      </c>
      <c r="F31" s="12" t="s">
        <v>178</v>
      </c>
      <c r="G31" s="12" t="s">
        <v>179</v>
      </c>
      <c r="I31" s="27" t="s">
        <v>214</v>
      </c>
    </row>
    <row r="32" spans="1:15" x14ac:dyDescent="0.2">
      <c r="A32" s="6" t="str">
        <f>'2. Electricity Source'!N40</f>
        <v>Australia</v>
      </c>
      <c r="B32" s="13">
        <f>'2. Electricity Source'!T40</f>
        <v>0.73119449098535994</v>
      </c>
      <c r="C32" s="13">
        <f>'2. Electricity Source'!S40</f>
        <v>2.4029847792699684E-3</v>
      </c>
      <c r="D32" s="13">
        <f>'2. Electricity Source'!U40</f>
        <v>2.6768417386955254E-3</v>
      </c>
      <c r="E32" s="13">
        <f>'2. Electricity Source'!V40</f>
        <v>0.73627431750332539</v>
      </c>
      <c r="F32" s="13"/>
      <c r="G32" s="13"/>
    </row>
    <row r="33" spans="1:7" x14ac:dyDescent="0.2">
      <c r="A33" s="6" t="str">
        <f>'2. Electricity Source'!N41</f>
        <v>Austria</v>
      </c>
      <c r="B33" s="13">
        <f>'2. Electricity Source'!T41</f>
        <v>0.11312955298805877</v>
      </c>
      <c r="C33" s="13">
        <f>'2. Electricity Source'!S41</f>
        <v>3.5471381946241746E-4</v>
      </c>
      <c r="D33" s="13">
        <f>'2. Electricity Source'!U41</f>
        <v>1.5510245522218384E-3</v>
      </c>
      <c r="E33" s="13">
        <f>'2. Electricity Source'!V41</f>
        <v>0.11503529135974302</v>
      </c>
      <c r="F33" s="13"/>
      <c r="G33" s="13"/>
    </row>
    <row r="34" spans="1:7" x14ac:dyDescent="0.2">
      <c r="A34" s="6" t="str">
        <f>'2. Electricity Source'!N42</f>
        <v>Belarus</v>
      </c>
      <c r="B34" s="13">
        <f>'2. Electricity Source'!T42</f>
        <v>0.78192422643730342</v>
      </c>
      <c r="C34" s="13">
        <f>'2. Electricity Source'!S42</f>
        <v>4.9940661608496059E-4</v>
      </c>
      <c r="D34" s="13">
        <f>'2. Electricity Source'!U42</f>
        <v>7.3732548003530138E-4</v>
      </c>
      <c r="E34" s="13">
        <f>'2. Electricity Source'!V42</f>
        <v>0.78316095853342371</v>
      </c>
      <c r="F34" s="13"/>
      <c r="G34" s="13"/>
    </row>
    <row r="35" spans="1:7" x14ac:dyDescent="0.2">
      <c r="A35" s="6" t="str">
        <f>'2. Electricity Source'!N43</f>
        <v>Belgium</v>
      </c>
      <c r="B35" s="13">
        <f>'2. Electricity Source'!T43</f>
        <v>0.2187287518792268</v>
      </c>
      <c r="C35" s="13">
        <f>'2. Electricity Source'!S43</f>
        <v>3.4488431694810893E-4</v>
      </c>
      <c r="D35" s="13">
        <f>'2. Electricity Source'!U43</f>
        <v>1.3221861642550401E-3</v>
      </c>
      <c r="E35" s="13">
        <f>'2. Electricity Source'!V43</f>
        <v>0.22039582236042993</v>
      </c>
      <c r="F35" s="13"/>
      <c r="G35" s="13"/>
    </row>
    <row r="36" spans="1:7" x14ac:dyDescent="0.2">
      <c r="A36" s="6" t="str">
        <f>'2. Electricity Source'!N44</f>
        <v>Bulgaria</v>
      </c>
      <c r="B36" s="13">
        <f>'2. Electricity Source'!T44</f>
        <v>0.51953119294792949</v>
      </c>
      <c r="C36" s="13">
        <f>'2. Electricity Source'!S44</f>
        <v>4.1179512253673993E-4</v>
      </c>
      <c r="D36" s="13">
        <f>'2. Electricity Source'!U44</f>
        <v>2.568479012411994E-3</v>
      </c>
      <c r="E36" s="13">
        <f>'2. Electricity Source'!V44</f>
        <v>0.52251146708287821</v>
      </c>
      <c r="F36" s="13"/>
      <c r="G36" s="13"/>
    </row>
    <row r="37" spans="1:7" x14ac:dyDescent="0.2">
      <c r="A37" s="6" t="str">
        <f>'2. Electricity Source'!N45</f>
        <v>Canada</v>
      </c>
      <c r="B37" s="13">
        <f>'2. Electricity Source'!T45</f>
        <v>0.10943391625208571</v>
      </c>
      <c r="C37" s="13">
        <f>'2. Electricity Source'!S45</f>
        <v>2.4150105517499096E-4</v>
      </c>
      <c r="D37" s="13">
        <f>'2. Electricity Source'!U45</f>
        <v>6.9495061117211829E-4</v>
      </c>
      <c r="E37" s="13">
        <f>'2. Electricity Source'!V45</f>
        <v>0.11037036791843281</v>
      </c>
      <c r="F37" s="13"/>
      <c r="G37" s="13"/>
    </row>
    <row r="38" spans="1:7" x14ac:dyDescent="0.2">
      <c r="A38" s="6" t="str">
        <f>'2. Electricity Source'!N46</f>
        <v>Croatia</v>
      </c>
      <c r="B38" s="13">
        <f>'2. Electricity Source'!T46</f>
        <v>0.18219778071982842</v>
      </c>
      <c r="C38" s="13">
        <f>'2. Electricity Source'!S46</f>
        <v>5.3609969713755326E-4</v>
      </c>
      <c r="D38" s="13">
        <f>'2. Electricity Source'!U46</f>
        <v>1.570841664374639E-3</v>
      </c>
      <c r="E38" s="13">
        <f>'2. Electricity Source'!V46</f>
        <v>0.18430472208134061</v>
      </c>
      <c r="F38" s="13"/>
      <c r="G38" s="13"/>
    </row>
    <row r="39" spans="1:7" x14ac:dyDescent="0.2">
      <c r="A39" s="6" t="str">
        <f>'2. Electricity Source'!N47</f>
        <v>Cyprus</v>
      </c>
      <c r="B39" s="13">
        <f>'2. Electricity Source'!T47</f>
        <v>0.69952823554526777</v>
      </c>
      <c r="C39" s="13">
        <f>'2. Electricity Source'!S47</f>
        <v>6.7683271211076981E-4</v>
      </c>
      <c r="D39" s="13">
        <f>'2. Electricity Source'!U47</f>
        <v>1.6135691856723245E-3</v>
      </c>
      <c r="E39" s="13">
        <f>'2. Electricity Source'!V47</f>
        <v>0.70181863744305084</v>
      </c>
      <c r="F39" s="13"/>
      <c r="G39" s="13"/>
    </row>
    <row r="40" spans="1:7" x14ac:dyDescent="0.2">
      <c r="A40" s="6" t="str">
        <f>'2. Electricity Source'!N48</f>
        <v>Czechia</v>
      </c>
      <c r="B40" s="13">
        <f>'2. Electricity Source'!T48</f>
        <v>0.54379560080992662</v>
      </c>
      <c r="C40" s="13">
        <f>'2. Electricity Source'!S48</f>
        <v>3.8479456717702701E-4</v>
      </c>
      <c r="D40" s="13">
        <f>'2. Electricity Source'!U48</f>
        <v>2.6838736037447831E-3</v>
      </c>
      <c r="E40" s="13">
        <f>'2. Electricity Source'!V48</f>
        <v>0.54686426898084839</v>
      </c>
      <c r="F40" s="13"/>
      <c r="G40" s="13"/>
    </row>
    <row r="41" spans="1:7" x14ac:dyDescent="0.2">
      <c r="A41" s="6" t="str">
        <f>'2. Electricity Source'!N49</f>
        <v>Denmark</v>
      </c>
      <c r="B41" s="13">
        <f>'2. Electricity Source'!T49</f>
        <v>0.31700559998139399</v>
      </c>
      <c r="C41" s="13">
        <f>'2. Electricity Source'!S49</f>
        <v>3.7457353369658537E-3</v>
      </c>
      <c r="D41" s="13">
        <f>'2. Electricity Source'!U49</f>
        <v>2.6786283969900374E-3</v>
      </c>
      <c r="E41" s="13">
        <f>'2. Electricity Source'!V49</f>
        <v>0.32342996371534988</v>
      </c>
      <c r="F41" s="13"/>
      <c r="G41" s="13"/>
    </row>
    <row r="42" spans="1:7" x14ac:dyDescent="0.2">
      <c r="A42" s="6" t="str">
        <f>'2. Electricity Source'!N50</f>
        <v>Estonia</v>
      </c>
      <c r="B42" s="13">
        <f>'2. Electricity Source'!T50</f>
        <v>1.0566345071543273</v>
      </c>
      <c r="C42" s="13">
        <f>'2. Electricity Source'!S50</f>
        <v>1.6107022802050006E-3</v>
      </c>
      <c r="D42" s="13">
        <f>'2. Electricity Source'!U50</f>
        <v>3.4921542945022719E-3</v>
      </c>
      <c r="E42" s="13">
        <f>'2. Electricity Source'!V50</f>
        <v>1.0617373637290346</v>
      </c>
      <c r="F42" s="13"/>
      <c r="G42" s="13"/>
    </row>
    <row r="43" spans="1:7" x14ac:dyDescent="0.2">
      <c r="A43" s="6" t="str">
        <f>'2. Electricity Source'!N53</f>
        <v>Finland</v>
      </c>
      <c r="B43" s="13">
        <f>'2. Electricity Source'!T53</f>
        <v>0.24467791276946199</v>
      </c>
      <c r="C43" s="13">
        <f>'2. Electricity Source'!S53</f>
        <v>4.5946999908697949E-4</v>
      </c>
      <c r="D43" s="13">
        <f>'2. Electricity Source'!U53</f>
        <v>3.898713349565138E-3</v>
      </c>
      <c r="E43" s="13">
        <f>'2. Electricity Source'!V53</f>
        <v>0.24903609611811409</v>
      </c>
      <c r="F43" s="13"/>
      <c r="G43" s="13"/>
    </row>
    <row r="44" spans="1:7" x14ac:dyDescent="0.2">
      <c r="A44" s="6" t="str">
        <f>'2. Electricity Source'!N54</f>
        <v>France</v>
      </c>
      <c r="B44" s="13">
        <f>'2. Electricity Source'!T54</f>
        <v>5.9406395623375741E-2</v>
      </c>
      <c r="C44" s="13">
        <f>'2. Electricity Source'!S54</f>
        <v>6.7280033905642609E-5</v>
      </c>
      <c r="D44" s="13">
        <f>'2. Electricity Source'!U54</f>
        <v>4.9994091406601433E-4</v>
      </c>
      <c r="E44" s="13">
        <f>'2. Electricity Source'!V54</f>
        <v>5.99736165713474E-2</v>
      </c>
      <c r="F44" s="13"/>
      <c r="G44" s="13"/>
    </row>
    <row r="45" spans="1:7" x14ac:dyDescent="0.2">
      <c r="A45" s="6" t="str">
        <f>'2. Electricity Source'!N55</f>
        <v>Germany</v>
      </c>
      <c r="B45" s="13">
        <f>'2. Electricity Source'!T55</f>
        <v>0.42719060036688516</v>
      </c>
      <c r="C45" s="13">
        <f>'2. Electricity Source'!S55</f>
        <v>4.0892190584335391E-3</v>
      </c>
      <c r="D45" s="13">
        <f>'2. Electricity Source'!U55</f>
        <v>3.5750561720285052E-3</v>
      </c>
      <c r="E45" s="13">
        <f>'2. Electricity Source'!V55</f>
        <v>0.4348548755973472</v>
      </c>
      <c r="F45" s="13"/>
      <c r="G45" s="13"/>
    </row>
    <row r="46" spans="1:7" x14ac:dyDescent="0.2">
      <c r="A46" s="6" t="str">
        <f>'2. Electricity Source'!N56</f>
        <v>Greece</v>
      </c>
      <c r="B46" s="13">
        <f>'2. Electricity Source'!T56</f>
        <v>0.66047390429169095</v>
      </c>
      <c r="C46" s="13">
        <f>'2. Electricity Source'!S56</f>
        <v>2.2592433397194351E-4</v>
      </c>
      <c r="D46" s="13">
        <f>'2. Electricity Source'!U56</f>
        <v>1.9769364126582885E-3</v>
      </c>
      <c r="E46" s="13">
        <f>'2. Electricity Source'!V56</f>
        <v>0.66267676503832118</v>
      </c>
      <c r="F46" s="13"/>
      <c r="G46" s="13"/>
    </row>
    <row r="47" spans="1:7" x14ac:dyDescent="0.2">
      <c r="A47" s="6" t="str">
        <f>'2. Electricity Source'!N57</f>
        <v>Hungary</v>
      </c>
      <c r="B47" s="13">
        <f>'2. Electricity Source'!T57</f>
        <v>0.36503214450423666</v>
      </c>
      <c r="C47" s="13">
        <f>'2. Electricity Source'!S57</f>
        <v>8.0731389464209027E-4</v>
      </c>
      <c r="D47" s="13">
        <f>'2. Electricity Source'!U57</f>
        <v>1.8980295462729163E-3</v>
      </c>
      <c r="E47" s="13">
        <f>'2. Electricity Source'!V57</f>
        <v>0.36773748794515171</v>
      </c>
      <c r="F47" s="13"/>
      <c r="G47" s="13"/>
    </row>
    <row r="48" spans="1:7" x14ac:dyDescent="0.2">
      <c r="A48" s="6" t="str">
        <f>'2. Electricity Source'!N58</f>
        <v>Iceland</v>
      </c>
      <c r="B48" s="13">
        <f>'2. Electricity Source'!T58</f>
        <v>1.2095178358551123E-4</v>
      </c>
      <c r="C48" s="13">
        <f>'2. Electricity Source'!S58</f>
        <v>1.2511666411941515E-7</v>
      </c>
      <c r="D48" s="13">
        <f>'2. Electricity Source'!U58</f>
        <v>2.9828419990829893E-7</v>
      </c>
      <c r="E48" s="13">
        <f>'2. Electricity Source'!V58</f>
        <v>1.2137518444953894E-4</v>
      </c>
      <c r="F48" s="13"/>
      <c r="G48" s="13"/>
    </row>
    <row r="49" spans="1:7" x14ac:dyDescent="0.2">
      <c r="A49" s="6" t="str">
        <f>'2. Electricity Source'!N59</f>
        <v>Ireland</v>
      </c>
      <c r="B49" s="13">
        <f>'2. Electricity Source'!T59</f>
        <v>0.33990165603893147</v>
      </c>
      <c r="C49" s="13">
        <f>'2. Electricity Source'!S59</f>
        <v>3.451842592772125E-4</v>
      </c>
      <c r="D49" s="13">
        <f>'2. Electricity Source'!U59</f>
        <v>4.8172536206476891E-3</v>
      </c>
      <c r="E49" s="13">
        <f>'2. Electricity Source'!V59</f>
        <v>0.34506409391885634</v>
      </c>
      <c r="F49" s="13"/>
      <c r="G49" s="13"/>
    </row>
    <row r="50" spans="1:7" x14ac:dyDescent="0.2">
      <c r="A50" s="6" t="str">
        <f>'2. Electricity Source'!N60</f>
        <v>Italy</v>
      </c>
      <c r="B50" s="13">
        <f>'2. Electricity Source'!T60</f>
        <v>0.25309947621575934</v>
      </c>
      <c r="C50" s="13">
        <f>'2. Electricity Source'!S60</f>
        <v>3.7363821359461539E-4</v>
      </c>
      <c r="D50" s="13">
        <f>'2. Electricity Source'!U60</f>
        <v>9.0384821285261483E-4</v>
      </c>
      <c r="E50" s="13">
        <f>'2. Electricity Source'!V60</f>
        <v>0.25437696264220655</v>
      </c>
      <c r="F50" s="13"/>
      <c r="G50" s="13"/>
    </row>
    <row r="51" spans="1:7" x14ac:dyDescent="0.2">
      <c r="A51" s="6" t="str">
        <f>'2. Electricity Source'!N61</f>
        <v>Japan</v>
      </c>
      <c r="B51" s="13">
        <f>'2. Electricity Source'!T61</f>
        <v>0.43937505944912703</v>
      </c>
      <c r="C51" s="13">
        <f>'2. Electricity Source'!S61</f>
        <v>8.1921507504863699E-5</v>
      </c>
      <c r="D51" s="13">
        <f>'2. Electricity Source'!U61</f>
        <v>1.9493911185207919E-3</v>
      </c>
      <c r="E51" s="13">
        <f>'2. Electricity Source'!V61</f>
        <v>0.44140637207515265</v>
      </c>
      <c r="F51" s="13"/>
      <c r="G51" s="13"/>
    </row>
    <row r="52" spans="1:7" x14ac:dyDescent="0.2">
      <c r="A52" s="6" t="str">
        <f>'2. Electricity Source'!N62</f>
        <v>Kazakhstan</v>
      </c>
      <c r="B52" s="13">
        <f>'2. Electricity Source'!T62</f>
        <v>1.0783367320658304</v>
      </c>
      <c r="C52" s="13">
        <f>'2. Electricity Source'!S62</f>
        <v>3.1010098554347805E-4</v>
      </c>
      <c r="D52" s="13">
        <f>'2. Electricity Source'!U62</f>
        <v>4.4818637743739721E-3</v>
      </c>
      <c r="E52" s="13">
        <f>'2. Electricity Source'!V62</f>
        <v>1.0831286968257479</v>
      </c>
      <c r="F52" s="13"/>
      <c r="G52" s="13"/>
    </row>
    <row r="53" spans="1:7" x14ac:dyDescent="0.2">
      <c r="A53" s="6" t="str">
        <f>'2. Electricity Source'!N63</f>
        <v>Latvia</v>
      </c>
      <c r="B53" s="13">
        <f>'2. Electricity Source'!T63</f>
        <v>0.28312740290306643</v>
      </c>
      <c r="C53" s="13">
        <f>'2. Electricity Source'!S63</f>
        <v>2.3050618917942454E-3</v>
      </c>
      <c r="D53" s="13">
        <f>'2. Electricity Source'!U63</f>
        <v>3.6231980467247896E-3</v>
      </c>
      <c r="E53" s="13">
        <f>'2. Electricity Source'!V63</f>
        <v>0.28905566284158546</v>
      </c>
      <c r="F53" s="13"/>
      <c r="G53" s="13"/>
    </row>
    <row r="54" spans="1:7" x14ac:dyDescent="0.2">
      <c r="A54" s="6" t="str">
        <f>'2. Electricity Source'!N65</f>
        <v>Lithuania</v>
      </c>
      <c r="B54" s="13">
        <f>'2. Electricity Source'!T65</f>
        <v>0.41763617603223219</v>
      </c>
      <c r="C54" s="13">
        <f>'2. Electricity Source'!S65</f>
        <v>9.2685625726779911E-3</v>
      </c>
      <c r="D54" s="13">
        <f>'2. Electricity Source'!U65</f>
        <v>1.476683050264507E-2</v>
      </c>
      <c r="E54" s="13">
        <f>'2. Electricity Source'!V65</f>
        <v>0.44167156910755523</v>
      </c>
      <c r="F54" s="13"/>
      <c r="G54" s="13"/>
    </row>
    <row r="55" spans="1:7" x14ac:dyDescent="0.2">
      <c r="A55" s="6" t="str">
        <f>'2. Electricity Source'!N66</f>
        <v>Luxembourg</v>
      </c>
      <c r="B55" s="13">
        <f>'2. Electricity Source'!T66</f>
        <v>0.64265665720649578</v>
      </c>
      <c r="C55" s="13">
        <f>'2. Electricity Source'!S66</f>
        <v>9.336134619360538E-3</v>
      </c>
      <c r="D55" s="13">
        <f>'2. Electricity Source'!U66</f>
        <v>1.4763036229916746E-2</v>
      </c>
      <c r="E55" s="13">
        <f>'2. Electricity Source'!V66</f>
        <v>0.66675582805577305</v>
      </c>
      <c r="F55" s="13"/>
      <c r="G55" s="13"/>
    </row>
    <row r="56" spans="1:7" x14ac:dyDescent="0.2">
      <c r="A56" s="6" t="str">
        <f>'2. Electricity Source'!N67</f>
        <v>Malta</v>
      </c>
      <c r="B56" s="13">
        <f>'2. Electricity Source'!T67</f>
        <v>0.46101398342541433</v>
      </c>
      <c r="C56" s="13">
        <f>'2. Electricity Source'!S67</f>
        <v>2.5916672555569833E-4</v>
      </c>
      <c r="D56" s="13">
        <f>'2. Electricity Source'!U67</f>
        <v>4.3219007387896701E-4</v>
      </c>
      <c r="E56" s="13">
        <f>'2. Electricity Source'!V67</f>
        <v>0.46170534022484899</v>
      </c>
      <c r="F56" s="13"/>
      <c r="G56" s="13"/>
    </row>
    <row r="57" spans="1:7" x14ac:dyDescent="0.2">
      <c r="A57" s="6" t="str">
        <f>'2. Electricity Source'!N69</f>
        <v>Netherlands</v>
      </c>
      <c r="B57" s="13">
        <f>'2. Electricity Source'!T69</f>
        <v>0.44111503955704512</v>
      </c>
      <c r="C57" s="13">
        <f>'2. Electricity Source'!S69</f>
        <v>7.6589121907510104E-4</v>
      </c>
      <c r="D57" s="13">
        <f>'2. Electricity Source'!U69</f>
        <v>2.2732370891002506E-3</v>
      </c>
      <c r="E57" s="13">
        <f>'2. Electricity Source'!V69</f>
        <v>0.44415416786522049</v>
      </c>
      <c r="F57" s="13"/>
      <c r="G57" s="13"/>
    </row>
    <row r="58" spans="1:7" x14ac:dyDescent="0.2">
      <c r="A58" s="6" t="str">
        <f>'2. Electricity Source'!N70</f>
        <v>New Zealand</v>
      </c>
      <c r="B58" s="13">
        <f>'2. Electricity Source'!T70</f>
        <v>7.6359888989834132E-2</v>
      </c>
      <c r="C58" s="13">
        <f>'2. Electricity Source'!S70</f>
        <v>2.9911356363167412E-5</v>
      </c>
      <c r="D58" s="13">
        <f>'2. Electricity Source'!U70</f>
        <v>1.2836644539684669E-4</v>
      </c>
      <c r="E58" s="13">
        <f>'2. Electricity Source'!V70</f>
        <v>7.651816679159415E-2</v>
      </c>
      <c r="F58" s="13"/>
      <c r="G58" s="13"/>
    </row>
    <row r="59" spans="1:7" x14ac:dyDescent="0.2">
      <c r="A59" s="6" t="str">
        <f>'2. Electricity Source'!N71</f>
        <v>Norway</v>
      </c>
      <c r="B59" s="13">
        <f>'2. Electricity Source'!T71</f>
        <v>1.201070485963779E-2</v>
      </c>
      <c r="C59" s="13">
        <f>'2. Electricity Source'!S71</f>
        <v>2.0018891552815913E-4</v>
      </c>
      <c r="D59" s="13">
        <f>'2. Electricity Source'!U71</f>
        <v>1.648017239992262E-4</v>
      </c>
      <c r="E59" s="13">
        <f>'2. Electricity Source'!V71</f>
        <v>1.2375695499165175E-2</v>
      </c>
      <c r="F59" s="13"/>
      <c r="G59" s="13"/>
    </row>
    <row r="60" spans="1:7" x14ac:dyDescent="0.2">
      <c r="A60" s="6" t="str">
        <f>'2. Electricity Source'!N72</f>
        <v>Poland</v>
      </c>
      <c r="B60" s="13">
        <f>'2. Electricity Source'!T72</f>
        <v>0.96945637271161456</v>
      </c>
      <c r="C60" s="13">
        <f>'2. Electricity Source'!S72</f>
        <v>5.7181217450689265E-4</v>
      </c>
      <c r="D60" s="13">
        <f>'2. Electricity Source'!U72</f>
        <v>4.4872058849721157E-3</v>
      </c>
      <c r="E60" s="13">
        <f>'2. Electricity Source'!V72</f>
        <v>0.9745153907710935</v>
      </c>
      <c r="F60" s="13"/>
      <c r="G60" s="13"/>
    </row>
    <row r="61" spans="1:7" x14ac:dyDescent="0.2">
      <c r="A61" s="6" t="str">
        <f>'2. Electricity Source'!N73</f>
        <v>Portugal</v>
      </c>
      <c r="B61" s="13">
        <f>'2. Electricity Source'!T73</f>
        <v>0.28032755047088553</v>
      </c>
      <c r="C61" s="13">
        <f>'2. Electricity Source'!S73</f>
        <v>2.5300589958407856E-4</v>
      </c>
      <c r="D61" s="13">
        <f>'2. Electricity Source'!U73</f>
        <v>2.6849742955897707E-3</v>
      </c>
      <c r="E61" s="13">
        <f>'2. Electricity Source'!V73</f>
        <v>0.28326553066605942</v>
      </c>
      <c r="F61" s="13"/>
      <c r="G61" s="13"/>
    </row>
    <row r="62" spans="1:7" x14ac:dyDescent="0.2">
      <c r="A62" s="6" t="str">
        <f>'2. Electricity Source'!N74</f>
        <v>Romania</v>
      </c>
      <c r="B62" s="13">
        <f>'2. Electricity Source'!T74</f>
        <v>0.33080901005740032</v>
      </c>
      <c r="C62" s="13">
        <f>'2. Electricity Source'!S74</f>
        <v>1.6047404537987807E-4</v>
      </c>
      <c r="D62" s="13">
        <f>'2. Electricity Source'!U74</f>
        <v>1.4368397400091951E-3</v>
      </c>
      <c r="E62" s="13">
        <f>'2. Electricity Source'!V74</f>
        <v>0.3324063238427894</v>
      </c>
      <c r="F62" s="13"/>
      <c r="G62" s="13"/>
    </row>
    <row r="63" spans="1:7" x14ac:dyDescent="0.2">
      <c r="A63" s="6" t="str">
        <f>'2. Electricity Source'!N75</f>
        <v>Russia</v>
      </c>
      <c r="B63" s="13">
        <f>'2. Electricity Source'!T75</f>
        <v>0.70881297513846497</v>
      </c>
      <c r="C63" s="13">
        <f>'2. Electricity Source'!S75</f>
        <v>3.8626805891885292E-4</v>
      </c>
      <c r="D63" s="13">
        <f>'2. Electricity Source'!U75</f>
        <v>1.4650420012213656E-3</v>
      </c>
      <c r="E63" s="13">
        <f>'2. Electricity Source'!V75</f>
        <v>0.71066428519860514</v>
      </c>
      <c r="F63" s="13"/>
      <c r="G63" s="13"/>
    </row>
    <row r="64" spans="1:7" x14ac:dyDescent="0.2">
      <c r="A64" s="6" t="str">
        <f>'2. Electricity Source'!N76</f>
        <v>Slovakia</v>
      </c>
      <c r="B64" s="13">
        <f>'2. Electricity Source'!T76</f>
        <v>0.19980259602797665</v>
      </c>
      <c r="C64" s="13">
        <f>'2. Electricity Source'!S76</f>
        <v>5.7092059432297196E-4</v>
      </c>
      <c r="D64" s="13">
        <f>'2. Electricity Source'!U76</f>
        <v>1.4529961535460398E-3</v>
      </c>
      <c r="E64" s="13">
        <f>'2. Electricity Source'!V76</f>
        <v>0.20182651277584568</v>
      </c>
      <c r="F64" s="13"/>
      <c r="G64" s="13"/>
    </row>
    <row r="65" spans="1:7" x14ac:dyDescent="0.2">
      <c r="A65" s="6" t="str">
        <f>'2. Electricity Source'!N77</f>
        <v>Slovenia</v>
      </c>
      <c r="B65" s="13">
        <f>'2. Electricity Source'!T77</f>
        <v>0.31207387564369576</v>
      </c>
      <c r="C65" s="13">
        <f>'2. Electricity Source'!S77</f>
        <v>1.9282776560369802E-4</v>
      </c>
      <c r="D65" s="13">
        <f>'2. Electricity Source'!U77</f>
        <v>1.4905380020331393E-3</v>
      </c>
      <c r="E65" s="13">
        <f>'2. Electricity Source'!V77</f>
        <v>0.3137572414113326</v>
      </c>
      <c r="F65" s="13"/>
      <c r="G65" s="13"/>
    </row>
    <row r="66" spans="1:7" x14ac:dyDescent="0.2">
      <c r="A66" s="6" t="str">
        <f>'2. Electricity Source'!N78</f>
        <v>Spain</v>
      </c>
      <c r="B66" s="13">
        <f>'2. Electricity Source'!T78</f>
        <v>0.22767681363625414</v>
      </c>
      <c r="C66" s="13">
        <f>'2. Electricity Source'!S78</f>
        <v>2.681186916622067E-4</v>
      </c>
      <c r="D66" s="13">
        <f>'2. Electricity Source'!U78</f>
        <v>1.9268435378264452E-3</v>
      </c>
      <c r="E66" s="13">
        <f>'2. Electricity Source'!V78</f>
        <v>0.22987177586574278</v>
      </c>
      <c r="F66" s="13"/>
      <c r="G66" s="13"/>
    </row>
    <row r="67" spans="1:7" x14ac:dyDescent="0.2">
      <c r="A67" s="6" t="str">
        <f>'2. Electricity Source'!N79</f>
        <v>Sweden</v>
      </c>
      <c r="B67" s="13">
        <f>'2. Electricity Source'!T79</f>
        <v>4.2869260144247322E-2</v>
      </c>
      <c r="C67" s="13">
        <f>'2. Electricity Source'!S79</f>
        <v>3.0096905927620075E-4</v>
      </c>
      <c r="D67" s="13">
        <f>'2. Electricity Source'!U79</f>
        <v>1.586789094992579E-3</v>
      </c>
      <c r="E67" s="13">
        <f>'2. Electricity Source'!V79</f>
        <v>4.4757018298516103E-2</v>
      </c>
      <c r="F67" s="13"/>
      <c r="G67" s="13"/>
    </row>
    <row r="68" spans="1:7" x14ac:dyDescent="0.2">
      <c r="A68" s="6" t="str">
        <f>'2. Electricity Source'!N80</f>
        <v>Switzerland</v>
      </c>
      <c r="B68" s="13">
        <f>'2. Electricity Source'!T80</f>
        <v>4.6634559432572449E-2</v>
      </c>
      <c r="C68" s="13">
        <f>'2. Electricity Source'!S80</f>
        <v>5.4023533914998174E-6</v>
      </c>
      <c r="D68" s="13">
        <f>'2. Electricity Source'!U80</f>
        <v>4.169780272798028E-4</v>
      </c>
      <c r="E68" s="13">
        <f>'2. Electricity Source'!V80</f>
        <v>4.7056939813243749E-2</v>
      </c>
      <c r="F68" s="13"/>
      <c r="G68" s="13"/>
    </row>
    <row r="69" spans="1:7" x14ac:dyDescent="0.2">
      <c r="A69" s="6" t="str">
        <f>'2. Electricity Source'!N81</f>
        <v>Turkey</v>
      </c>
      <c r="B69" s="13">
        <f>'2. Electricity Source'!T81</f>
        <v>0.51516686766346942</v>
      </c>
      <c r="C69" s="13">
        <f>'2. Electricity Source'!S81</f>
        <v>1.600284718379352E-4</v>
      </c>
      <c r="D69" s="13">
        <f>'2. Electricity Source'!U81</f>
        <v>3.4358021007492973E-3</v>
      </c>
      <c r="E69" s="13">
        <f>'2. Electricity Source'!V81</f>
        <v>0.5187626982360567</v>
      </c>
      <c r="F69" s="13"/>
      <c r="G69" s="13"/>
    </row>
    <row r="70" spans="1:7" x14ac:dyDescent="0.2">
      <c r="A70" s="6" t="str">
        <f>'2. Electricity Source'!N82</f>
        <v>Ukraine</v>
      </c>
      <c r="B70" s="13">
        <f>'2. Electricity Source'!T82</f>
        <v>0.59316748317026113</v>
      </c>
      <c r="C70" s="13">
        <f>'2. Electricity Source'!S82</f>
        <v>4.1143775961086012E-4</v>
      </c>
      <c r="D70" s="13">
        <f>'2. Electricity Source'!U82</f>
        <v>2.4181680664353022E-3</v>
      </c>
      <c r="E70" s="13">
        <f>'2. Electricity Source'!V82</f>
        <v>0.59599708899630732</v>
      </c>
      <c r="F70" s="13"/>
      <c r="G70" s="13"/>
    </row>
    <row r="71" spans="1:7" x14ac:dyDescent="0.2">
      <c r="A71" s="6" t="str">
        <f>'2. Electricity Source'!N83</f>
        <v>United Kingdom of Great Britain and Northern Ireland</v>
      </c>
      <c r="B71" s="13">
        <f>'2. Electricity Source'!T83</f>
        <v>0.21433380293108498</v>
      </c>
      <c r="C71" s="13">
        <f>'2. Electricity Source'!S83</f>
        <v>8.4916934300880884E-4</v>
      </c>
      <c r="D71" s="13">
        <f>'2. Electricity Source'!U83</f>
        <v>1.3184197799536749E-3</v>
      </c>
      <c r="E71" s="13">
        <f>'2. Electricity Source'!V83</f>
        <v>0.21650139205404745</v>
      </c>
      <c r="F71" s="13"/>
      <c r="G71" s="13"/>
    </row>
    <row r="72" spans="1:7" x14ac:dyDescent="0.2">
      <c r="A72" s="6" t="str">
        <f>'2. Electricity Source'!A93</f>
        <v>Colombia</v>
      </c>
      <c r="B72" s="13">
        <f>'2. Electricity Source'!C93</f>
        <v>0.17215372413295837</v>
      </c>
      <c r="C72" s="13">
        <f>'2. Electricity Source'!D93</f>
        <v>6.866976367300831E-5</v>
      </c>
      <c r="D72" s="13">
        <f>'2. Electricity Source'!E93</f>
        <v>4.297353810656861E-4</v>
      </c>
      <c r="E72" s="13">
        <f>'2. Electricity Source'!F93</f>
        <v>0.17265212927769708</v>
      </c>
      <c r="F72" s="13"/>
      <c r="G72" s="13"/>
    </row>
    <row r="73" spans="1:7" x14ac:dyDescent="0.2">
      <c r="A73" s="6" t="str">
        <f>'2. Electricity Source'!A94</f>
        <v>India</v>
      </c>
      <c r="B73" s="13">
        <f>'2. Electricity Source'!C94</f>
        <v>0.88826419372272969</v>
      </c>
      <c r="C73" s="13">
        <f>'2. Electricity Source'!D94</f>
        <v>2.4337274752507878E-4</v>
      </c>
      <c r="D73" s="13">
        <f>'2. Electricity Source'!E94</f>
        <v>3.9883883022897148E-3</v>
      </c>
      <c r="E73" s="13">
        <f>'2. Electricity Source'!F94</f>
        <v>0.89249595477254451</v>
      </c>
      <c r="F73" s="13"/>
      <c r="G73" s="13"/>
    </row>
    <row r="74" spans="1:7" x14ac:dyDescent="0.2">
      <c r="A74" s="6" t="str">
        <f>'2. Electricity Source'!A95</f>
        <v>Mexico</v>
      </c>
      <c r="B74" s="13">
        <f>'2. Electricity Source'!C95</f>
        <v>0.4364123348818349</v>
      </c>
      <c r="C74" s="13">
        <f>'2. Electricity Source'!D95</f>
        <v>2.822191295466533E-4</v>
      </c>
      <c r="D74" s="13">
        <f>'2. Electricity Source'!E95</f>
        <v>6.9374272501337032E-4</v>
      </c>
      <c r="E74" s="13">
        <f>'2. Electricity Source'!F95</f>
        <v>0.43738829673639495</v>
      </c>
      <c r="F74" s="13"/>
      <c r="G74" s="13"/>
    </row>
    <row r="75" spans="1:7" x14ac:dyDescent="0.2">
      <c r="A75" s="6" t="str">
        <f>'2. Electricity Source'!A96</f>
        <v>Mongolia</v>
      </c>
      <c r="B75" s="13">
        <f>'2. Electricity Source'!C96</f>
        <v>1.8598499506416581</v>
      </c>
      <c r="C75" s="13">
        <f>'2. Electricity Source'!D96</f>
        <v>5.9700089315094262E-4</v>
      </c>
      <c r="D75" s="13">
        <f>'2. Electricity Source'!E96</f>
        <v>9.871018692481609E-3</v>
      </c>
      <c r="E75" s="13">
        <f>'2. Electricity Source'!F96</f>
        <v>1.8703179702272905</v>
      </c>
      <c r="F75" s="13"/>
      <c r="G75" s="13"/>
    </row>
    <row r="76" spans="1:7" x14ac:dyDescent="0.2">
      <c r="A76" s="6" t="str">
        <f>'2. Electricity Source'!A97</f>
        <v>South Africa</v>
      </c>
      <c r="B76" s="13">
        <f>'2. Electricity Source'!C97</f>
        <v>0.97135485549508915</v>
      </c>
      <c r="C76" s="13">
        <f>'2. Electricity Source'!D97</f>
        <v>2.684333712237361E-4</v>
      </c>
      <c r="D76" s="13">
        <f>'2. Electricity Source'!E97</f>
        <v>4.4559952944895585E-3</v>
      </c>
      <c r="E76" s="13">
        <f>'2. Electricity Source'!F97</f>
        <v>0.97607928416080247</v>
      </c>
      <c r="F76" s="13"/>
      <c r="G76" s="13"/>
    </row>
    <row r="77" spans="1:7" x14ac:dyDescent="0.2">
      <c r="A77" s="6" t="str">
        <f>'2. Electricity Source'!A98</f>
        <v>Liechtenstein</v>
      </c>
      <c r="B77" s="13">
        <f>'2. Electricity Source'!C98</f>
        <v>2.3196986600978693E-2</v>
      </c>
      <c r="C77" s="13"/>
      <c r="D77" s="13"/>
      <c r="E77" s="13">
        <f>'2. Electricity Source'!F98</f>
        <v>2.3196986600978693E-2</v>
      </c>
      <c r="F77" s="13"/>
      <c r="G77" s="13"/>
    </row>
    <row r="78" spans="1:7" x14ac:dyDescent="0.2">
      <c r="A78" s="6" t="str">
        <f>'2. Electricity Source'!A99</f>
        <v>Egypt</v>
      </c>
      <c r="B78" s="13">
        <f>'2. Electricity Source'!C99</f>
        <v>0.44813740465683766</v>
      </c>
      <c r="C78" s="13">
        <f>'2. Electricity Source'!D99</f>
        <v>8.1717350446395953E-3</v>
      </c>
      <c r="D78" s="13">
        <f>'2. Electricity Source'!E99</f>
        <v>0.11306427396729839</v>
      </c>
      <c r="E78" s="13">
        <f>'2. Electricity Source'!F99</f>
        <v>0.56937341366877559</v>
      </c>
      <c r="F78" s="13"/>
      <c r="G78" s="13"/>
    </row>
    <row r="79" spans="1:7" x14ac:dyDescent="0.2">
      <c r="A79" s="6" t="str">
        <f>'2. Electricity Source'!A100</f>
        <v>Guatemala</v>
      </c>
      <c r="B79" s="13">
        <f>'2. Electricity Source'!C100</f>
        <v>0.30761101194065854</v>
      </c>
      <c r="C79" s="13">
        <f>'2. Electricity Source'!D100</f>
        <v>3.6183813773971768E-5</v>
      </c>
      <c r="D79" s="13">
        <f>'2. Electricity Source'!E100</f>
        <v>6.0383548426004086E-4</v>
      </c>
      <c r="E79" s="13">
        <f>'2. Electricity Source'!F100</f>
        <v>0.30825103123869252</v>
      </c>
      <c r="F79" s="13"/>
      <c r="G79" s="13"/>
    </row>
    <row r="80" spans="1:7" x14ac:dyDescent="0.2">
      <c r="A80" s="6" t="str">
        <f>'2. Electricity Source'!A101</f>
        <v>Argentina</v>
      </c>
      <c r="B80" s="13">
        <f>'2. Electricity Source'!C101</f>
        <v>0.339607837514249</v>
      </c>
      <c r="C80" s="13">
        <f>'2. Electricity Source'!D101</f>
        <v>2.3556378094207074E-3</v>
      </c>
      <c r="D80" s="13">
        <f>'2. Electricity Source'!E101</f>
        <v>8.9593528914264737E-4</v>
      </c>
      <c r="E80" s="13">
        <f>'2. Electricity Source'!F101</f>
        <v>0.34285941061281239</v>
      </c>
      <c r="F80" s="13"/>
      <c r="G80" s="13"/>
    </row>
    <row r="81" spans="1:7" x14ac:dyDescent="0.2">
      <c r="A81" s="6" t="str">
        <f>'2. Electricity Source'!A102</f>
        <v>Chile</v>
      </c>
      <c r="B81" s="13"/>
      <c r="C81" s="13"/>
      <c r="D81" s="13"/>
      <c r="E81" s="13">
        <f>'2. Electricity Source'!F102</f>
        <v>0.49377561365680905</v>
      </c>
      <c r="F81" s="13"/>
      <c r="G81" s="13"/>
    </row>
    <row r="82" spans="1:7" x14ac:dyDescent="0.2">
      <c r="A82" s="6" t="str">
        <f>'2. Electricity Source'!A103</f>
        <v>Uruguay</v>
      </c>
      <c r="B82" s="13">
        <f>'2. Electricity Source'!C103</f>
        <v>0.28399611650485435</v>
      </c>
      <c r="C82" s="13">
        <f>'2. Electricity Source'!D103</f>
        <v>5.0970873786407766E-4</v>
      </c>
      <c r="D82" s="13">
        <f>'2. Electricity Source'!E103</f>
        <v>1.0126213592233011E-3</v>
      </c>
      <c r="E82" s="13">
        <f>'2. Electricity Source'!F103</f>
        <v>0.28551844660194176</v>
      </c>
      <c r="F82" s="13"/>
      <c r="G82" s="13"/>
    </row>
    <row r="83" spans="1:7" x14ac:dyDescent="0.2">
      <c r="A83" s="6" t="str">
        <f>'2. Electricity Source'!A104</f>
        <v>Indonesia</v>
      </c>
      <c r="B83" s="13">
        <f>'2. Electricity Source'!C104</f>
        <v>0.96362186027529406</v>
      </c>
      <c r="C83" s="13">
        <f>'2. Electricity Source'!D104</f>
        <v>3.4782770007049305E-4</v>
      </c>
      <c r="D83" s="13">
        <f>'2. Electricity Source'!E104</f>
        <v>4.1461061848402777E-3</v>
      </c>
      <c r="E83" s="13">
        <f>'2. Electricity Source'!F104</f>
        <v>0.96811579416020477</v>
      </c>
      <c r="F83" s="13"/>
      <c r="G83" s="13"/>
    </row>
    <row r="84" spans="1:7" x14ac:dyDescent="0.2">
      <c r="A84" s="6" t="str">
        <f>'2. Electricity Source'!A105</f>
        <v>Malaysia</v>
      </c>
      <c r="B84" s="13">
        <f>'2. Electricity Source'!C105</f>
        <v>0.67102976674803372</v>
      </c>
      <c r="C84" s="13">
        <f>'2. Electricity Source'!D105</f>
        <v>5.0854353132628156E-4</v>
      </c>
      <c r="D84" s="13">
        <f>'2. Electricity Source'!E105</f>
        <v>6.0618388934092762E-3</v>
      </c>
      <c r="E84" s="13">
        <f>'2. Electricity Source'!F105</f>
        <v>0.67760014917276923</v>
      </c>
      <c r="F84" s="13"/>
      <c r="G84" s="13"/>
    </row>
    <row r="85" spans="1:7" x14ac:dyDescent="0.2">
      <c r="A85" s="6" t="str">
        <f>'2. Electricity Source'!A106</f>
        <v>Singapore</v>
      </c>
      <c r="B85" s="13">
        <f>'2. Electricity Source'!C106</f>
        <v>0.41968993248183029</v>
      </c>
      <c r="C85" s="13">
        <f>'2. Electricity Source'!D106</f>
        <v>1.7227679787349513E-4</v>
      </c>
      <c r="D85" s="13">
        <f>'2. Electricity Source'!E106</f>
        <v>1.4872239863604143E-3</v>
      </c>
      <c r="E85" s="13">
        <f>'2. Electricity Source'!F106</f>
        <v>0.42134943326606422</v>
      </c>
      <c r="F85" s="13"/>
      <c r="G85" s="13"/>
    </row>
    <row r="86" spans="1:7" x14ac:dyDescent="0.2">
      <c r="A86" s="6" t="str">
        <f>'2. Electricity Source'!A107</f>
        <v>Viet Nam</v>
      </c>
      <c r="B86" s="13">
        <f>'2. Electricity Source'!C107</f>
        <v>0.39242122744658947</v>
      </c>
      <c r="C86" s="13">
        <f>'2. Electricity Source'!D107</f>
        <v>1.4090010745981531E-4</v>
      </c>
      <c r="D86" s="13">
        <f>'2. Electricity Source'!E107</f>
        <v>1.2092610822631187E-3</v>
      </c>
      <c r="E86" s="13">
        <f>'2. Electricity Source'!F107</f>
        <v>0.39377138863631239</v>
      </c>
      <c r="F86" s="13"/>
      <c r="G86" s="13"/>
    </row>
    <row r="87" spans="1:7" x14ac:dyDescent="0.2">
      <c r="A87" s="6" t="str">
        <f>'2. Electricity Source'!A108</f>
        <v>Algeria</v>
      </c>
      <c r="B87" s="13">
        <f>'2. Electricity Source'!C108</f>
        <v>0.65973210548346584</v>
      </c>
      <c r="C87" s="13">
        <f>'2. Electricity Source'!D108</f>
        <v>6.5613227291753872E-3</v>
      </c>
      <c r="D87" s="13">
        <f>'2. Electricity Source'!E108</f>
        <v>0.12611050648807032</v>
      </c>
      <c r="E87" s="13">
        <f>'2. Electricity Source'!F108</f>
        <v>0.79240393470071158</v>
      </c>
      <c r="F87" s="13"/>
      <c r="G87" s="13"/>
    </row>
    <row r="88" spans="1:7" x14ac:dyDescent="0.2">
      <c r="A88" s="6" t="str">
        <f>'2. Electricity Source'!A109</f>
        <v>Armenia</v>
      </c>
      <c r="B88" s="13">
        <f>'2. Electricity Source'!C109</f>
        <v>0.16166780587833215</v>
      </c>
      <c r="C88" s="13">
        <f>'2. Electricity Source'!D109</f>
        <v>7.142857142857142E-5</v>
      </c>
      <c r="D88" s="13">
        <f>'2. Electricity Source'!E109</f>
        <v>8.5550239234449734E-5</v>
      </c>
      <c r="E88" s="13">
        <f>'2. Electricity Source'!F109</f>
        <v>0.16182478468899519</v>
      </c>
      <c r="F88" s="13"/>
      <c r="G88" s="13"/>
    </row>
    <row r="89" spans="1:7" x14ac:dyDescent="0.2">
      <c r="A89" s="6" t="str">
        <f>'2. Electricity Source'!A110</f>
        <v>China</v>
      </c>
      <c r="B89" s="13"/>
      <c r="C89" s="13"/>
      <c r="D89" s="13"/>
      <c r="E89" s="13">
        <f>'2. Electricity Source'!F110</f>
        <v>0.73399999999999999</v>
      </c>
      <c r="F89" s="13"/>
      <c r="G89" s="13"/>
    </row>
    <row r="90" spans="1:7" x14ac:dyDescent="0.2">
      <c r="A90" s="6" t="str">
        <f>'2. Electricity Source'!A111</f>
        <v>Brazil</v>
      </c>
      <c r="B90" s="13"/>
      <c r="C90" s="13"/>
      <c r="D90" s="13"/>
      <c r="E90" s="13">
        <f>'2. Electricity Source'!F111</f>
        <v>9.8000000000000004E-2</v>
      </c>
      <c r="F90" s="13"/>
      <c r="G90" s="1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D4A82-F8D3-E247-A75A-222AE352347A}">
  <dimension ref="A1:Z150"/>
  <sheetViews>
    <sheetView zoomScale="67" workbookViewId="0">
      <selection activeCell="K113" sqref="K113"/>
    </sheetView>
  </sheetViews>
  <sheetFormatPr baseColWidth="10" defaultRowHeight="16" x14ac:dyDescent="0.2"/>
  <cols>
    <col min="1" max="1" width="14.1640625" style="33" customWidth="1"/>
    <col min="2" max="3" width="10.83203125" style="33"/>
    <col min="4" max="4" width="11.83203125" style="33" bestFit="1" customWidth="1"/>
    <col min="5" max="5" width="12.6640625" style="33" bestFit="1" customWidth="1"/>
    <col min="6" max="7" width="10.83203125" style="33"/>
    <col min="8" max="8" width="12.6640625" style="33" bestFit="1" customWidth="1"/>
    <col min="9" max="22" width="10.83203125" style="33"/>
    <col min="23" max="23" width="12.1640625" style="33" bestFit="1" customWidth="1"/>
    <col min="24" max="16384" width="10.83203125" style="33"/>
  </cols>
  <sheetData>
    <row r="1" spans="1:19" s="69" customFormat="1" ht="17" thickBot="1" x14ac:dyDescent="0.25">
      <c r="A1" s="69" t="s">
        <v>297</v>
      </c>
    </row>
    <row r="2" spans="1:19" ht="153" x14ac:dyDescent="0.2">
      <c r="A2" s="70" t="s">
        <v>194</v>
      </c>
      <c r="B2" s="77" t="s">
        <v>195</v>
      </c>
      <c r="C2" s="77" t="s">
        <v>196</v>
      </c>
      <c r="D2" s="77" t="s">
        <v>197</v>
      </c>
      <c r="E2" s="77" t="s">
        <v>198</v>
      </c>
      <c r="F2" s="77" t="s">
        <v>200</v>
      </c>
      <c r="G2" s="77" t="s">
        <v>199</v>
      </c>
      <c r="H2" s="71"/>
      <c r="I2" s="77" t="s">
        <v>204</v>
      </c>
      <c r="J2" s="77" t="s">
        <v>205</v>
      </c>
      <c r="K2" s="77" t="s">
        <v>206</v>
      </c>
      <c r="L2" s="77" t="s">
        <v>207</v>
      </c>
      <c r="M2" s="77" t="s">
        <v>208</v>
      </c>
      <c r="N2" s="77" t="s">
        <v>209</v>
      </c>
      <c r="O2" s="71"/>
      <c r="P2" s="77" t="s">
        <v>210</v>
      </c>
      <c r="Q2" s="77" t="s">
        <v>211</v>
      </c>
      <c r="R2" s="77" t="s">
        <v>212</v>
      </c>
      <c r="S2" s="78" t="s">
        <v>213</v>
      </c>
    </row>
    <row r="3" spans="1:19" x14ac:dyDescent="0.2">
      <c r="A3" s="79" t="s">
        <v>106</v>
      </c>
      <c r="B3" s="80">
        <v>1039.635</v>
      </c>
      <c r="C3" s="80">
        <v>8.2000000000000003E-2</v>
      </c>
      <c r="D3" s="80">
        <v>1.0999999999999999E-2</v>
      </c>
      <c r="E3" s="80">
        <v>1044.989</v>
      </c>
      <c r="F3" s="80">
        <v>5.4189999999999996</v>
      </c>
      <c r="G3" s="80">
        <v>1.1000000000000001</v>
      </c>
      <c r="H3" s="47"/>
      <c r="I3" s="72">
        <f>B3/2.2046/1000</f>
        <v>0.47157534246575339</v>
      </c>
      <c r="J3" s="72">
        <f t="shared" ref="J3:N3" si="0">C3/2.2046/1000</f>
        <v>3.7194956001088632E-5</v>
      </c>
      <c r="K3" s="72">
        <f t="shared" si="0"/>
        <v>4.9895672684387189E-6</v>
      </c>
      <c r="L3" s="72">
        <f t="shared" si="0"/>
        <v>0.47400390093440986</v>
      </c>
      <c r="M3" s="72">
        <f t="shared" si="0"/>
        <v>2.4580422752426743E-3</v>
      </c>
      <c r="N3" s="72">
        <f t="shared" si="0"/>
        <v>4.9895672684387193E-4</v>
      </c>
      <c r="O3" s="47"/>
      <c r="P3" s="72">
        <f>I3</f>
        <v>0.47157534246575339</v>
      </c>
      <c r="Q3" s="47">
        <f>J3*25</f>
        <v>9.2987390002721585E-4</v>
      </c>
      <c r="R3" s="47">
        <f>K3*298</f>
        <v>1.4868910459947381E-3</v>
      </c>
      <c r="S3" s="73">
        <f>L3</f>
        <v>0.47400390093440986</v>
      </c>
    </row>
    <row r="4" spans="1:19" x14ac:dyDescent="0.2">
      <c r="A4" s="79" t="s">
        <v>107</v>
      </c>
      <c r="B4" s="80">
        <v>525.08299999999997</v>
      </c>
      <c r="C4" s="80">
        <v>2.4E-2</v>
      </c>
      <c r="D4" s="80">
        <v>4.0000000000000001E-3</v>
      </c>
      <c r="E4" s="80">
        <v>526.96299999999997</v>
      </c>
      <c r="F4" s="80">
        <v>7.8440000000000003</v>
      </c>
      <c r="G4" s="80">
        <v>0.67700000000000005</v>
      </c>
      <c r="H4" s="47"/>
      <c r="I4" s="72">
        <f t="shared" ref="I4:I28" si="1">B4/2.2046/1000</f>
        <v>0.23817608636487342</v>
      </c>
      <c r="J4" s="72">
        <f t="shared" ref="J4:J28" si="2">C4/2.2046/1000</f>
        <v>1.0886328585684478E-5</v>
      </c>
      <c r="K4" s="72">
        <f t="shared" ref="K4:K28" si="3">D4/2.2046/1000</f>
        <v>1.8143880976140797E-6</v>
      </c>
      <c r="L4" s="72">
        <f t="shared" ref="L4:L28" si="4">E4/2.2046/1000</f>
        <v>0.23902884877075203</v>
      </c>
      <c r="M4" s="72">
        <f t="shared" ref="M4:M28" si="5">F4/2.2046/1000</f>
        <v>3.5580150594212104E-3</v>
      </c>
      <c r="N4" s="72">
        <f t="shared" ref="N4:N28" si="6">G4/2.2046/1000</f>
        <v>3.0708518552118296E-4</v>
      </c>
      <c r="O4" s="47"/>
      <c r="P4" s="72">
        <f t="shared" ref="P4:P28" si="7">I4</f>
        <v>0.23817608636487342</v>
      </c>
      <c r="Q4" s="47">
        <f t="shared" ref="Q4:Q28" si="8">J4*25</f>
        <v>2.7215821464211196E-4</v>
      </c>
      <c r="R4" s="47">
        <f t="shared" ref="R4:R28" si="9">K4*298</f>
        <v>5.4068765308899573E-4</v>
      </c>
      <c r="S4" s="73">
        <f t="shared" ref="S4:S28" si="10">L4</f>
        <v>0.23902884877075203</v>
      </c>
    </row>
    <row r="5" spans="1:19" x14ac:dyDescent="0.2">
      <c r="A5" s="79" t="s">
        <v>108</v>
      </c>
      <c r="B5" s="80">
        <v>1022.355</v>
      </c>
      <c r="C5" s="80">
        <v>7.6999999999999999E-2</v>
      </c>
      <c r="D5" s="80">
        <v>1.0999999999999999E-2</v>
      </c>
      <c r="E5" s="80">
        <v>1027.548</v>
      </c>
      <c r="F5" s="80">
        <v>0.71899999999999997</v>
      </c>
      <c r="G5" s="80">
        <v>0.26300000000000001</v>
      </c>
      <c r="H5" s="47"/>
      <c r="I5" s="72">
        <f t="shared" si="1"/>
        <v>0.4637371858840606</v>
      </c>
      <c r="J5" s="72">
        <f t="shared" si="2"/>
        <v>3.4926970879071031E-5</v>
      </c>
      <c r="K5" s="72">
        <f t="shared" si="3"/>
        <v>4.9895672684387189E-6</v>
      </c>
      <c r="L5" s="72">
        <f t="shared" si="4"/>
        <v>0.46609271523178808</v>
      </c>
      <c r="M5" s="72">
        <f t="shared" si="5"/>
        <v>3.2613626054613077E-4</v>
      </c>
      <c r="N5" s="72">
        <f t="shared" si="6"/>
        <v>1.1929601741812573E-4</v>
      </c>
      <c r="O5" s="47"/>
      <c r="P5" s="72">
        <f t="shared" si="7"/>
        <v>0.4637371858840606</v>
      </c>
      <c r="Q5" s="47">
        <f t="shared" si="8"/>
        <v>8.7317427197677574E-4</v>
      </c>
      <c r="R5" s="47">
        <f t="shared" si="9"/>
        <v>1.4868910459947381E-3</v>
      </c>
      <c r="S5" s="73">
        <f t="shared" si="10"/>
        <v>0.46609271523178808</v>
      </c>
    </row>
    <row r="6" spans="1:19" x14ac:dyDescent="0.2">
      <c r="A6" s="79" t="s">
        <v>109</v>
      </c>
      <c r="B6" s="80">
        <v>496.536</v>
      </c>
      <c r="C6" s="80">
        <v>3.4000000000000002E-2</v>
      </c>
      <c r="D6" s="80">
        <v>4.0000000000000001E-3</v>
      </c>
      <c r="E6" s="80">
        <v>498.68599999999998</v>
      </c>
      <c r="F6" s="80">
        <v>0.41399999999999998</v>
      </c>
      <c r="G6" s="80">
        <v>4.7E-2</v>
      </c>
      <c r="H6" s="47"/>
      <c r="I6" s="72">
        <f t="shared" si="1"/>
        <v>0.22522725210922614</v>
      </c>
      <c r="J6" s="72">
        <f t="shared" si="2"/>
        <v>1.5422298829719676E-5</v>
      </c>
      <c r="K6" s="72">
        <f t="shared" si="3"/>
        <v>1.8143880976140797E-6</v>
      </c>
      <c r="L6" s="72">
        <f t="shared" si="4"/>
        <v>0.22620248571169368</v>
      </c>
      <c r="M6" s="72">
        <f t="shared" si="5"/>
        <v>1.8778916810305725E-4</v>
      </c>
      <c r="N6" s="72">
        <f t="shared" si="6"/>
        <v>2.1319060146965435E-5</v>
      </c>
      <c r="O6" s="47"/>
      <c r="P6" s="72">
        <f t="shared" si="7"/>
        <v>0.22522725210922614</v>
      </c>
      <c r="Q6" s="47">
        <f t="shared" si="8"/>
        <v>3.8555747074299192E-4</v>
      </c>
      <c r="R6" s="47">
        <f t="shared" si="9"/>
        <v>5.4068765308899573E-4</v>
      </c>
      <c r="S6" s="73">
        <f t="shared" si="10"/>
        <v>0.22620248571169368</v>
      </c>
    </row>
    <row r="7" spans="1:19" x14ac:dyDescent="0.2">
      <c r="A7" s="79" t="s">
        <v>110</v>
      </c>
      <c r="B7" s="80">
        <v>931.67200000000003</v>
      </c>
      <c r="C7" s="80">
        <v>6.6000000000000003E-2</v>
      </c>
      <c r="D7" s="80">
        <v>8.9999999999999993E-3</v>
      </c>
      <c r="E7" s="80">
        <v>936.08199999999999</v>
      </c>
      <c r="F7" s="80">
        <v>0.55400000000000005</v>
      </c>
      <c r="G7" s="80">
        <v>0.82899999999999996</v>
      </c>
      <c r="H7" s="47"/>
      <c r="I7" s="72">
        <f t="shared" si="1"/>
        <v>0.42260364692007618</v>
      </c>
      <c r="J7" s="72">
        <f t="shared" si="2"/>
        <v>2.9937403610632314E-5</v>
      </c>
      <c r="K7" s="72">
        <f t="shared" si="3"/>
        <v>4.0823732196316787E-6</v>
      </c>
      <c r="L7" s="72">
        <f t="shared" si="4"/>
        <v>0.42460400979769569</v>
      </c>
      <c r="M7" s="72">
        <f t="shared" si="5"/>
        <v>2.5129275151955006E-4</v>
      </c>
      <c r="N7" s="72">
        <f t="shared" si="6"/>
        <v>3.7603193323051796E-4</v>
      </c>
      <c r="O7" s="47"/>
      <c r="P7" s="72">
        <f t="shared" si="7"/>
        <v>0.42260364692007618</v>
      </c>
      <c r="Q7" s="47">
        <f t="shared" si="8"/>
        <v>7.4843509026580783E-4</v>
      </c>
      <c r="R7" s="47">
        <f t="shared" si="9"/>
        <v>1.2165472194502402E-3</v>
      </c>
      <c r="S7" s="73">
        <f t="shared" si="10"/>
        <v>0.42460400979769569</v>
      </c>
    </row>
    <row r="8" spans="1:19" x14ac:dyDescent="0.2">
      <c r="A8" s="79" t="s">
        <v>111</v>
      </c>
      <c r="B8" s="80">
        <v>931.84199999999998</v>
      </c>
      <c r="C8" s="80">
        <v>6.6000000000000003E-2</v>
      </c>
      <c r="D8" s="80">
        <v>8.9999999999999993E-3</v>
      </c>
      <c r="E8" s="80">
        <v>936.14499999999998</v>
      </c>
      <c r="F8" s="80">
        <v>0.36499999999999999</v>
      </c>
      <c r="G8" s="80">
        <v>0.27800000000000002</v>
      </c>
      <c r="H8" s="47"/>
      <c r="I8" s="72">
        <f t="shared" si="1"/>
        <v>0.42268075841422481</v>
      </c>
      <c r="J8" s="72">
        <f t="shared" si="2"/>
        <v>2.9937403610632314E-5</v>
      </c>
      <c r="K8" s="72">
        <f t="shared" si="3"/>
        <v>4.0823732196316787E-6</v>
      </c>
      <c r="L8" s="72">
        <f t="shared" si="4"/>
        <v>0.4246325864102331</v>
      </c>
      <c r="M8" s="72">
        <f t="shared" si="5"/>
        <v>1.6556291390728474E-4</v>
      </c>
      <c r="N8" s="72">
        <f t="shared" si="6"/>
        <v>1.2609997278417853E-4</v>
      </c>
      <c r="O8" s="47"/>
      <c r="P8" s="72">
        <f t="shared" si="7"/>
        <v>0.42268075841422481</v>
      </c>
      <c r="Q8" s="47">
        <f t="shared" si="8"/>
        <v>7.4843509026580783E-4</v>
      </c>
      <c r="R8" s="47">
        <f t="shared" si="9"/>
        <v>1.2165472194502402E-3</v>
      </c>
      <c r="S8" s="73">
        <f t="shared" si="10"/>
        <v>0.4246325864102331</v>
      </c>
    </row>
    <row r="9" spans="1:19" x14ac:dyDescent="0.2">
      <c r="A9" s="79" t="s">
        <v>112</v>
      </c>
      <c r="B9" s="80">
        <v>1110.6890000000001</v>
      </c>
      <c r="C9" s="80">
        <v>0.11799999999999999</v>
      </c>
      <c r="D9" s="80">
        <v>1.7999999999999999E-2</v>
      </c>
      <c r="E9" s="80">
        <v>1119.077</v>
      </c>
      <c r="F9" s="80">
        <v>7.5819999999999999</v>
      </c>
      <c r="G9" s="80">
        <v>3.9689999999999999</v>
      </c>
      <c r="H9" s="47"/>
      <c r="I9" s="72">
        <f t="shared" si="1"/>
        <v>0.50380522543772122</v>
      </c>
      <c r="J9" s="72">
        <f t="shared" si="2"/>
        <v>5.352444887961534E-5</v>
      </c>
      <c r="K9" s="72">
        <f t="shared" si="3"/>
        <v>8.1647464392633573E-6</v>
      </c>
      <c r="L9" s="72">
        <f t="shared" si="4"/>
        <v>0.50760999727841782</v>
      </c>
      <c r="M9" s="72">
        <f t="shared" si="5"/>
        <v>3.4391726390274879E-3</v>
      </c>
      <c r="N9" s="72">
        <f t="shared" si="6"/>
        <v>1.8003265898575704E-3</v>
      </c>
      <c r="O9" s="47"/>
      <c r="P9" s="72">
        <f t="shared" si="7"/>
        <v>0.50380522543772122</v>
      </c>
      <c r="Q9" s="47">
        <f t="shared" si="8"/>
        <v>1.3381112219903834E-3</v>
      </c>
      <c r="R9" s="47">
        <f t="shared" si="9"/>
        <v>2.4330944389004804E-3</v>
      </c>
      <c r="S9" s="73">
        <f t="shared" si="10"/>
        <v>0.50760999727841782</v>
      </c>
    </row>
    <row r="10" spans="1:19" x14ac:dyDescent="0.2">
      <c r="A10" s="79" t="s">
        <v>113</v>
      </c>
      <c r="B10" s="80">
        <v>1669.943</v>
      </c>
      <c r="C10" s="80">
        <v>0.18</v>
      </c>
      <c r="D10" s="80">
        <v>2.7E-2</v>
      </c>
      <c r="E10" s="80">
        <v>1682.596</v>
      </c>
      <c r="F10" s="80">
        <v>3.7730000000000001</v>
      </c>
      <c r="G10" s="80">
        <v>7.9969999999999999</v>
      </c>
      <c r="H10" s="47"/>
      <c r="I10" s="72">
        <f t="shared" si="1"/>
        <v>0.75748117572348728</v>
      </c>
      <c r="J10" s="72">
        <f t="shared" si="2"/>
        <v>8.1647464392633587E-5</v>
      </c>
      <c r="K10" s="72">
        <f t="shared" si="3"/>
        <v>1.2247119658895036E-5</v>
      </c>
      <c r="L10" s="72">
        <f t="shared" si="4"/>
        <v>0.76322053887326491</v>
      </c>
      <c r="M10" s="72">
        <f t="shared" si="5"/>
        <v>1.7114215730744805E-3</v>
      </c>
      <c r="N10" s="72">
        <f t="shared" si="6"/>
        <v>3.6274154041549488E-3</v>
      </c>
      <c r="O10" s="47"/>
      <c r="P10" s="72">
        <f t="shared" si="7"/>
        <v>0.75748117572348728</v>
      </c>
      <c r="Q10" s="47">
        <f t="shared" si="8"/>
        <v>2.0411866098158397E-3</v>
      </c>
      <c r="R10" s="47">
        <f t="shared" si="9"/>
        <v>3.6496416583507206E-3</v>
      </c>
      <c r="S10" s="73">
        <f t="shared" si="10"/>
        <v>0.76322053887326491</v>
      </c>
    </row>
    <row r="11" spans="1:19" x14ac:dyDescent="0.2">
      <c r="A11" s="79" t="s">
        <v>190</v>
      </c>
      <c r="B11" s="80">
        <v>1678.0160000000001</v>
      </c>
      <c r="C11" s="80">
        <v>0.16900000000000001</v>
      </c>
      <c r="D11" s="80">
        <v>2.5000000000000001E-2</v>
      </c>
      <c r="E11" s="80">
        <v>1689.6510000000001</v>
      </c>
      <c r="F11" s="80">
        <v>0.88700000000000001</v>
      </c>
      <c r="G11" s="80">
        <v>0.89100000000000001</v>
      </c>
      <c r="H11" s="47"/>
      <c r="I11" s="72">
        <f t="shared" si="1"/>
        <v>0.76114306450149682</v>
      </c>
      <c r="J11" s="72">
        <f t="shared" si="2"/>
        <v>7.6657897124194859E-5</v>
      </c>
      <c r="K11" s="72">
        <f t="shared" si="3"/>
        <v>1.1339925610087997E-5</v>
      </c>
      <c r="L11" s="72">
        <f t="shared" si="4"/>
        <v>0.76642066588043178</v>
      </c>
      <c r="M11" s="72">
        <f t="shared" si="5"/>
        <v>4.0234056064592216E-4</v>
      </c>
      <c r="N11" s="72">
        <f t="shared" si="6"/>
        <v>4.0415494874353625E-4</v>
      </c>
      <c r="O11" s="47"/>
      <c r="P11" s="72">
        <f t="shared" si="7"/>
        <v>0.76114306450149682</v>
      </c>
      <c r="Q11" s="47">
        <f t="shared" si="8"/>
        <v>1.9164474281048714E-3</v>
      </c>
      <c r="R11" s="47">
        <f t="shared" si="9"/>
        <v>3.3792978318062231E-3</v>
      </c>
      <c r="S11" s="73">
        <f t="shared" si="10"/>
        <v>0.76642066588043178</v>
      </c>
    </row>
    <row r="12" spans="1:19" x14ac:dyDescent="0.2">
      <c r="A12" s="79" t="s">
        <v>114</v>
      </c>
      <c r="B12" s="80">
        <v>1239.848</v>
      </c>
      <c r="C12" s="80">
        <v>0.13800000000000001</v>
      </c>
      <c r="D12" s="80">
        <v>0.02</v>
      </c>
      <c r="E12" s="80">
        <v>1249.201</v>
      </c>
      <c r="F12" s="80">
        <v>1.0089999999999999</v>
      </c>
      <c r="G12" s="80">
        <v>1.351</v>
      </c>
      <c r="H12" s="47"/>
      <c r="I12" s="72">
        <f t="shared" si="1"/>
        <v>0.56239136351265528</v>
      </c>
      <c r="J12" s="72">
        <f t="shared" si="2"/>
        <v>6.2596389367685739E-5</v>
      </c>
      <c r="K12" s="72">
        <f t="shared" si="3"/>
        <v>9.0719404880703976E-6</v>
      </c>
      <c r="L12" s="72">
        <f t="shared" si="4"/>
        <v>0.56663385648190145</v>
      </c>
      <c r="M12" s="72">
        <f t="shared" si="5"/>
        <v>4.5767939762315153E-4</v>
      </c>
      <c r="N12" s="72">
        <f t="shared" si="6"/>
        <v>6.1280957996915546E-4</v>
      </c>
      <c r="O12" s="47"/>
      <c r="P12" s="72">
        <f t="shared" si="7"/>
        <v>0.56239136351265528</v>
      </c>
      <c r="Q12" s="47">
        <f t="shared" si="8"/>
        <v>1.5649097341921435E-3</v>
      </c>
      <c r="R12" s="47">
        <f t="shared" si="9"/>
        <v>2.7034382654449783E-3</v>
      </c>
      <c r="S12" s="73">
        <f t="shared" si="10"/>
        <v>0.56663385648190145</v>
      </c>
    </row>
    <row r="13" spans="1:19" x14ac:dyDescent="0.2">
      <c r="A13" s="79" t="s">
        <v>115</v>
      </c>
      <c r="B13" s="80">
        <v>522.31200000000001</v>
      </c>
      <c r="C13" s="80">
        <v>8.2000000000000003E-2</v>
      </c>
      <c r="D13" s="80">
        <v>1.0999999999999999E-2</v>
      </c>
      <c r="E13" s="80">
        <v>527.56399999999996</v>
      </c>
      <c r="F13" s="80">
        <v>0.35</v>
      </c>
      <c r="G13" s="80">
        <v>0.13600000000000001</v>
      </c>
      <c r="H13" s="47"/>
      <c r="I13" s="72">
        <f t="shared" si="1"/>
        <v>0.23691916901025128</v>
      </c>
      <c r="J13" s="72">
        <f t="shared" si="2"/>
        <v>3.7194956001088632E-5</v>
      </c>
      <c r="K13" s="72">
        <f t="shared" si="3"/>
        <v>4.9895672684387189E-6</v>
      </c>
      <c r="L13" s="72">
        <f t="shared" si="4"/>
        <v>0.23930146058241855</v>
      </c>
      <c r="M13" s="72">
        <f t="shared" si="5"/>
        <v>1.5875895854123196E-4</v>
      </c>
      <c r="N13" s="72">
        <f t="shared" si="6"/>
        <v>6.1689195318878704E-5</v>
      </c>
      <c r="O13" s="47"/>
      <c r="P13" s="72">
        <f t="shared" si="7"/>
        <v>0.23691916901025128</v>
      </c>
      <c r="Q13" s="47">
        <f t="shared" si="8"/>
        <v>9.2987390002721585E-4</v>
      </c>
      <c r="R13" s="47">
        <f t="shared" si="9"/>
        <v>1.4868910459947381E-3</v>
      </c>
      <c r="S13" s="73">
        <f t="shared" si="10"/>
        <v>0.23930146058241855</v>
      </c>
    </row>
    <row r="14" spans="1:19" x14ac:dyDescent="0.2">
      <c r="A14" s="79" t="s">
        <v>116</v>
      </c>
      <c r="B14" s="80">
        <v>639.03700000000003</v>
      </c>
      <c r="C14" s="80">
        <v>6.4000000000000001E-2</v>
      </c>
      <c r="D14" s="80">
        <v>8.9999999999999993E-3</v>
      </c>
      <c r="E14" s="80">
        <v>643.36300000000006</v>
      </c>
      <c r="F14" s="80">
        <v>0.57699999999999996</v>
      </c>
      <c r="G14" s="80">
        <v>0.377</v>
      </c>
      <c r="H14" s="47"/>
      <c r="I14" s="72">
        <f t="shared" si="1"/>
        <v>0.28986528168375214</v>
      </c>
      <c r="J14" s="72">
        <f t="shared" si="2"/>
        <v>2.9030209561825275E-5</v>
      </c>
      <c r="K14" s="72">
        <f t="shared" si="3"/>
        <v>4.0823732196316787E-6</v>
      </c>
      <c r="L14" s="72">
        <f t="shared" si="4"/>
        <v>0.29182754241132181</v>
      </c>
      <c r="M14" s="72">
        <f t="shared" si="5"/>
        <v>2.6172548308083096E-4</v>
      </c>
      <c r="N14" s="72">
        <f t="shared" si="6"/>
        <v>1.7100607820012701E-4</v>
      </c>
      <c r="O14" s="47"/>
      <c r="P14" s="72">
        <f t="shared" si="7"/>
        <v>0.28986528168375214</v>
      </c>
      <c r="Q14" s="47">
        <f t="shared" si="8"/>
        <v>7.2575523904563183E-4</v>
      </c>
      <c r="R14" s="47">
        <f t="shared" si="9"/>
        <v>1.2165472194502402E-3</v>
      </c>
      <c r="S14" s="73">
        <f t="shared" si="10"/>
        <v>0.29182754241132181</v>
      </c>
    </row>
    <row r="15" spans="1:19" x14ac:dyDescent="0.2">
      <c r="A15" s="79" t="s">
        <v>117</v>
      </c>
      <c r="B15" s="80">
        <v>596.41399999999999</v>
      </c>
      <c r="C15" s="80">
        <v>2.1999999999999999E-2</v>
      </c>
      <c r="D15" s="80">
        <v>3.0000000000000001E-3</v>
      </c>
      <c r="E15" s="80">
        <v>597.76199999999994</v>
      </c>
      <c r="F15" s="80">
        <v>0.249</v>
      </c>
      <c r="G15" s="80">
        <v>2.5999999999999999E-2</v>
      </c>
      <c r="H15" s="47"/>
      <c r="I15" s="72">
        <f t="shared" si="1"/>
        <v>0.27053161571260093</v>
      </c>
      <c r="J15" s="72">
        <f t="shared" si="2"/>
        <v>9.9791345368774378E-6</v>
      </c>
      <c r="K15" s="72">
        <f t="shared" si="3"/>
        <v>1.3607910732105598E-6</v>
      </c>
      <c r="L15" s="72">
        <f t="shared" si="4"/>
        <v>0.27114306450149683</v>
      </c>
      <c r="M15" s="72">
        <f t="shared" si="5"/>
        <v>1.1294565907647646E-4</v>
      </c>
      <c r="N15" s="72">
        <f t="shared" si="6"/>
        <v>1.1793522634491517E-5</v>
      </c>
      <c r="O15" s="47"/>
      <c r="P15" s="72">
        <f t="shared" si="7"/>
        <v>0.27053161571260093</v>
      </c>
      <c r="Q15" s="47">
        <f t="shared" si="8"/>
        <v>2.4947836342193596E-4</v>
      </c>
      <c r="R15" s="47">
        <f t="shared" si="9"/>
        <v>4.0551573981674683E-4</v>
      </c>
      <c r="S15" s="73">
        <f t="shared" si="10"/>
        <v>0.27114306450149683</v>
      </c>
    </row>
    <row r="16" spans="1:19" x14ac:dyDescent="0.2">
      <c r="A16" s="79" t="s">
        <v>118</v>
      </c>
      <c r="B16" s="80">
        <v>1184.241</v>
      </c>
      <c r="C16" s="80">
        <v>0.13900000000000001</v>
      </c>
      <c r="D16" s="80">
        <v>1.7999999999999999E-2</v>
      </c>
      <c r="E16" s="80">
        <v>1193.0909999999999</v>
      </c>
      <c r="F16" s="80">
        <v>0.82799999999999996</v>
      </c>
      <c r="G16" s="80">
        <v>0.23400000000000001</v>
      </c>
      <c r="H16" s="47"/>
      <c r="I16" s="72">
        <f t="shared" si="1"/>
        <v>0.53716819377664882</v>
      </c>
      <c r="J16" s="72">
        <f t="shared" si="2"/>
        <v>6.3049986392089264E-5</v>
      </c>
      <c r="K16" s="72">
        <f t="shared" si="3"/>
        <v>8.1647464392633573E-6</v>
      </c>
      <c r="L16" s="72">
        <f t="shared" si="4"/>
        <v>0.54118252744261985</v>
      </c>
      <c r="M16" s="72">
        <f t="shared" si="5"/>
        <v>3.7557833620611449E-4</v>
      </c>
      <c r="N16" s="72">
        <f t="shared" si="6"/>
        <v>1.0614170371042366E-4</v>
      </c>
      <c r="O16" s="47"/>
      <c r="P16" s="72">
        <f t="shared" si="7"/>
        <v>0.53716819377664882</v>
      </c>
      <c r="Q16" s="47">
        <f t="shared" si="8"/>
        <v>1.5762496598022316E-3</v>
      </c>
      <c r="R16" s="47">
        <f t="shared" si="9"/>
        <v>2.4330944389004804E-3</v>
      </c>
      <c r="S16" s="73">
        <f t="shared" si="10"/>
        <v>0.54118252744261985</v>
      </c>
    </row>
    <row r="17" spans="1:19" x14ac:dyDescent="0.2">
      <c r="A17" s="79" t="s">
        <v>119</v>
      </c>
      <c r="B17" s="80">
        <v>253.11199999999999</v>
      </c>
      <c r="C17" s="80">
        <v>1.7999999999999999E-2</v>
      </c>
      <c r="D17" s="80">
        <v>2E-3</v>
      </c>
      <c r="E17" s="80">
        <v>253.88900000000001</v>
      </c>
      <c r="F17" s="80">
        <v>0.13600000000000001</v>
      </c>
      <c r="G17" s="80">
        <v>9.1999999999999998E-2</v>
      </c>
      <c r="H17" s="47"/>
      <c r="I17" s="72">
        <f t="shared" si="1"/>
        <v>0.11481085004082373</v>
      </c>
      <c r="J17" s="72">
        <f t="shared" si="2"/>
        <v>8.1647464392633573E-6</v>
      </c>
      <c r="K17" s="72">
        <f t="shared" si="3"/>
        <v>9.0719404880703984E-7</v>
      </c>
      <c r="L17" s="72">
        <f t="shared" si="4"/>
        <v>0.11516329492878526</v>
      </c>
      <c r="M17" s="72">
        <f t="shared" si="5"/>
        <v>6.1689195318878704E-5</v>
      </c>
      <c r="N17" s="72">
        <f t="shared" si="6"/>
        <v>4.1730926245123835E-5</v>
      </c>
      <c r="O17" s="47"/>
      <c r="P17" s="72">
        <f t="shared" si="7"/>
        <v>0.11481085004082373</v>
      </c>
      <c r="Q17" s="47">
        <f t="shared" si="8"/>
        <v>2.0411866098158393E-4</v>
      </c>
      <c r="R17" s="47">
        <f t="shared" si="9"/>
        <v>2.7034382654449787E-4</v>
      </c>
      <c r="S17" s="73">
        <f t="shared" si="10"/>
        <v>0.11516329492878526</v>
      </c>
    </row>
    <row r="18" spans="1:19" x14ac:dyDescent="0.2">
      <c r="A18" s="79" t="s">
        <v>120</v>
      </c>
      <c r="B18" s="80">
        <v>715.96600000000001</v>
      </c>
      <c r="C18" s="80">
        <v>6.0999999999999999E-2</v>
      </c>
      <c r="D18" s="80">
        <v>8.0000000000000002E-3</v>
      </c>
      <c r="E18" s="80">
        <v>719.97900000000004</v>
      </c>
      <c r="F18" s="80">
        <v>0.28799999999999998</v>
      </c>
      <c r="G18" s="80">
        <v>0.48</v>
      </c>
      <c r="H18" s="47"/>
      <c r="I18" s="72">
        <f t="shared" si="1"/>
        <v>0.32476004717409052</v>
      </c>
      <c r="J18" s="72">
        <f t="shared" si="2"/>
        <v>2.7669418488614712E-5</v>
      </c>
      <c r="K18" s="72">
        <f t="shared" si="3"/>
        <v>3.6287761952281594E-6</v>
      </c>
      <c r="L18" s="72">
        <f t="shared" si="4"/>
        <v>0.32658033203302189</v>
      </c>
      <c r="M18" s="72">
        <f t="shared" si="5"/>
        <v>1.3063594302821372E-4</v>
      </c>
      <c r="N18" s="72">
        <f t="shared" si="6"/>
        <v>2.1772657171368953E-4</v>
      </c>
      <c r="O18" s="47"/>
      <c r="P18" s="72">
        <f t="shared" si="7"/>
        <v>0.32476004717409052</v>
      </c>
      <c r="Q18" s="47">
        <f t="shared" si="8"/>
        <v>6.9173546221536783E-4</v>
      </c>
      <c r="R18" s="47">
        <f t="shared" si="9"/>
        <v>1.0813753061779915E-3</v>
      </c>
      <c r="S18" s="73">
        <f t="shared" si="10"/>
        <v>0.32658033203302189</v>
      </c>
    </row>
    <row r="19" spans="1:19" x14ac:dyDescent="0.2">
      <c r="A19" s="79" t="s">
        <v>121</v>
      </c>
      <c r="B19" s="80">
        <v>1312.56</v>
      </c>
      <c r="C19" s="80">
        <v>0.129</v>
      </c>
      <c r="D19" s="80">
        <v>1.7999999999999999E-2</v>
      </c>
      <c r="E19" s="80">
        <v>1321.1849999999999</v>
      </c>
      <c r="F19" s="80">
        <v>0.79200000000000004</v>
      </c>
      <c r="G19" s="80">
        <v>1.296</v>
      </c>
      <c r="H19" s="47"/>
      <c r="I19" s="72">
        <f t="shared" si="1"/>
        <v>0.59537331035108398</v>
      </c>
      <c r="J19" s="72">
        <f t="shared" si="2"/>
        <v>5.8514016148054061E-5</v>
      </c>
      <c r="K19" s="72">
        <f t="shared" si="3"/>
        <v>8.1647464392633573E-6</v>
      </c>
      <c r="L19" s="72">
        <f t="shared" si="4"/>
        <v>0.59928558468656445</v>
      </c>
      <c r="M19" s="72">
        <f t="shared" si="5"/>
        <v>3.5924884332758778E-4</v>
      </c>
      <c r="N19" s="72">
        <f t="shared" si="6"/>
        <v>5.8786174362696173E-4</v>
      </c>
      <c r="O19" s="47"/>
      <c r="P19" s="72">
        <f t="shared" si="7"/>
        <v>0.59537331035108398</v>
      </c>
      <c r="Q19" s="47">
        <f t="shared" si="8"/>
        <v>1.4628504037013516E-3</v>
      </c>
      <c r="R19" s="47">
        <f t="shared" si="9"/>
        <v>2.4330944389004804E-3</v>
      </c>
      <c r="S19" s="73">
        <f t="shared" si="10"/>
        <v>0.59928558468656445</v>
      </c>
    </row>
    <row r="20" spans="1:19" x14ac:dyDescent="0.2">
      <c r="A20" s="79" t="s">
        <v>122</v>
      </c>
      <c r="B20" s="80">
        <v>1166.096</v>
      </c>
      <c r="C20" s="80">
        <v>0.11700000000000001</v>
      </c>
      <c r="D20" s="80">
        <v>1.7000000000000001E-2</v>
      </c>
      <c r="E20" s="80">
        <v>1174.029</v>
      </c>
      <c r="F20" s="80">
        <v>0.65200000000000002</v>
      </c>
      <c r="G20" s="80">
        <v>0.92500000000000004</v>
      </c>
      <c r="H20" s="47"/>
      <c r="I20" s="72">
        <f t="shared" si="1"/>
        <v>0.52893767576884698</v>
      </c>
      <c r="J20" s="72">
        <f t="shared" si="2"/>
        <v>5.3070851855211829E-5</v>
      </c>
      <c r="K20" s="72">
        <f t="shared" si="3"/>
        <v>7.711149414859838E-6</v>
      </c>
      <c r="L20" s="72">
        <f t="shared" si="4"/>
        <v>0.53253606096344008</v>
      </c>
      <c r="M20" s="72">
        <f t="shared" si="5"/>
        <v>2.9574525991109496E-4</v>
      </c>
      <c r="N20" s="72">
        <f t="shared" si="6"/>
        <v>4.1957724757325592E-4</v>
      </c>
      <c r="O20" s="47"/>
      <c r="P20" s="72">
        <f t="shared" si="7"/>
        <v>0.52893767576884698</v>
      </c>
      <c r="Q20" s="47">
        <f t="shared" si="8"/>
        <v>1.3267712963802958E-3</v>
      </c>
      <c r="R20" s="47">
        <f t="shared" si="9"/>
        <v>2.2979225256282319E-3</v>
      </c>
      <c r="S20" s="73">
        <f t="shared" si="10"/>
        <v>0.53253606096344008</v>
      </c>
    </row>
    <row r="21" spans="1:19" x14ac:dyDescent="0.2">
      <c r="A21" s="79" t="s">
        <v>123</v>
      </c>
      <c r="B21" s="80">
        <v>1273.615</v>
      </c>
      <c r="C21" s="80">
        <v>0.123</v>
      </c>
      <c r="D21" s="80">
        <v>1.7999999999999999E-2</v>
      </c>
      <c r="E21" s="80">
        <v>1281.944</v>
      </c>
      <c r="F21" s="80">
        <v>0.68899999999999995</v>
      </c>
      <c r="G21" s="80">
        <v>0.41799999999999998</v>
      </c>
      <c r="H21" s="47"/>
      <c r="I21" s="72">
        <f t="shared" si="1"/>
        <v>0.57770797423568898</v>
      </c>
      <c r="J21" s="72">
        <f t="shared" si="2"/>
        <v>5.5792434001632948E-5</v>
      </c>
      <c r="K21" s="72">
        <f t="shared" si="3"/>
        <v>8.1647464392633573E-6</v>
      </c>
      <c r="L21" s="72">
        <f t="shared" si="4"/>
        <v>0.58148598385194594</v>
      </c>
      <c r="M21" s="72">
        <f t="shared" si="5"/>
        <v>3.1252834981402515E-4</v>
      </c>
      <c r="N21" s="72">
        <f t="shared" si="6"/>
        <v>1.8960355620067132E-4</v>
      </c>
      <c r="O21" s="47"/>
      <c r="P21" s="72">
        <f t="shared" si="7"/>
        <v>0.57770797423568898</v>
      </c>
      <c r="Q21" s="47">
        <f t="shared" si="8"/>
        <v>1.3948108500408238E-3</v>
      </c>
      <c r="R21" s="47">
        <f t="shared" si="9"/>
        <v>2.4330944389004804E-3</v>
      </c>
      <c r="S21" s="73">
        <f t="shared" si="10"/>
        <v>0.58148598385194594</v>
      </c>
    </row>
    <row r="22" spans="1:19" x14ac:dyDescent="0.2">
      <c r="A22" s="79" t="s">
        <v>124</v>
      </c>
      <c r="B22" s="80">
        <v>1163.1869999999999</v>
      </c>
      <c r="C22" s="80">
        <v>0.124</v>
      </c>
      <c r="D22" s="80">
        <v>1.7999999999999999E-2</v>
      </c>
      <c r="E22" s="80">
        <v>1171.606</v>
      </c>
      <c r="F22" s="80">
        <v>0.72</v>
      </c>
      <c r="G22" s="80">
        <v>0.33300000000000002</v>
      </c>
      <c r="H22" s="47"/>
      <c r="I22" s="72">
        <f t="shared" si="1"/>
        <v>0.52761816202485701</v>
      </c>
      <c r="J22" s="72">
        <f t="shared" si="2"/>
        <v>5.6246031026036466E-5</v>
      </c>
      <c r="K22" s="72">
        <f t="shared" si="3"/>
        <v>8.1647464392633573E-6</v>
      </c>
      <c r="L22" s="72">
        <f t="shared" si="4"/>
        <v>0.53143699537331035</v>
      </c>
      <c r="M22" s="72">
        <f t="shared" si="5"/>
        <v>3.2658985757053435E-4</v>
      </c>
      <c r="N22" s="72">
        <f t="shared" si="6"/>
        <v>1.5104780912637215E-4</v>
      </c>
      <c r="O22" s="47"/>
      <c r="P22" s="72">
        <f t="shared" si="7"/>
        <v>0.52761816202485701</v>
      </c>
      <c r="Q22" s="47">
        <f t="shared" si="8"/>
        <v>1.4061507756509117E-3</v>
      </c>
      <c r="R22" s="47">
        <f t="shared" si="9"/>
        <v>2.4330944389004804E-3</v>
      </c>
      <c r="S22" s="73">
        <f t="shared" si="10"/>
        <v>0.53143699537331035</v>
      </c>
    </row>
    <row r="23" spans="1:19" x14ac:dyDescent="0.2">
      <c r="A23" s="79" t="s">
        <v>125</v>
      </c>
      <c r="B23" s="80">
        <v>1166.5820000000001</v>
      </c>
      <c r="C23" s="80">
        <v>9.0999999999999998E-2</v>
      </c>
      <c r="D23" s="80">
        <v>1.2999999999999999E-2</v>
      </c>
      <c r="E23" s="80">
        <v>1172.7550000000001</v>
      </c>
      <c r="F23" s="80">
        <v>0.88200000000000001</v>
      </c>
      <c r="G23" s="80">
        <v>1.242</v>
      </c>
      <c r="H23" s="47"/>
      <c r="I23" s="72">
        <f t="shared" si="1"/>
        <v>0.52915812392270711</v>
      </c>
      <c r="J23" s="72">
        <f t="shared" si="2"/>
        <v>4.1277329220720311E-5</v>
      </c>
      <c r="K23" s="72">
        <f t="shared" si="3"/>
        <v>5.8967613172457583E-6</v>
      </c>
      <c r="L23" s="72">
        <f t="shared" si="4"/>
        <v>0.53195817835435</v>
      </c>
      <c r="M23" s="72">
        <f t="shared" si="5"/>
        <v>4.0007257552390459E-4</v>
      </c>
      <c r="N23" s="72">
        <f t="shared" si="6"/>
        <v>5.6336750430917174E-4</v>
      </c>
      <c r="O23" s="47"/>
      <c r="P23" s="72">
        <f t="shared" si="7"/>
        <v>0.52915812392270711</v>
      </c>
      <c r="Q23" s="47">
        <f t="shared" si="8"/>
        <v>1.0319332305180077E-3</v>
      </c>
      <c r="R23" s="47">
        <f t="shared" si="9"/>
        <v>1.7572348725392361E-3</v>
      </c>
      <c r="S23" s="73">
        <f t="shared" si="10"/>
        <v>0.53195817835435</v>
      </c>
    </row>
    <row r="24" spans="1:19" x14ac:dyDescent="0.2">
      <c r="A24" s="79" t="s">
        <v>126</v>
      </c>
      <c r="B24" s="80">
        <v>854.64499999999998</v>
      </c>
      <c r="C24" s="80">
        <v>5.5E-2</v>
      </c>
      <c r="D24" s="80">
        <v>8.0000000000000002E-3</v>
      </c>
      <c r="E24" s="80">
        <v>858.36900000000003</v>
      </c>
      <c r="F24" s="80">
        <v>0.67100000000000004</v>
      </c>
      <c r="G24" s="80">
        <v>0.96</v>
      </c>
      <c r="H24" s="47"/>
      <c r="I24" s="72">
        <f t="shared" si="1"/>
        <v>0.38766442892134628</v>
      </c>
      <c r="J24" s="72">
        <f t="shared" si="2"/>
        <v>2.4947836342193593E-5</v>
      </c>
      <c r="K24" s="72">
        <f t="shared" si="3"/>
        <v>3.6287761952281594E-6</v>
      </c>
      <c r="L24" s="72">
        <f t="shared" si="4"/>
        <v>0.38935362424022496</v>
      </c>
      <c r="M24" s="72">
        <f t="shared" si="5"/>
        <v>3.0436360337476187E-4</v>
      </c>
      <c r="N24" s="72">
        <f t="shared" si="6"/>
        <v>4.3545314342737906E-4</v>
      </c>
      <c r="O24" s="47"/>
      <c r="P24" s="72">
        <f t="shared" si="7"/>
        <v>0.38766442892134628</v>
      </c>
      <c r="Q24" s="47">
        <f t="shared" si="8"/>
        <v>6.2369590855483983E-4</v>
      </c>
      <c r="R24" s="47">
        <f t="shared" si="9"/>
        <v>1.0813753061779915E-3</v>
      </c>
      <c r="S24" s="73">
        <f t="shared" si="10"/>
        <v>0.38935362424022496</v>
      </c>
    </row>
    <row r="25" spans="1:19" x14ac:dyDescent="0.2">
      <c r="A25" s="79" t="s">
        <v>127</v>
      </c>
      <c r="B25" s="80">
        <v>1664.15</v>
      </c>
      <c r="C25" s="80">
        <v>0.185</v>
      </c>
      <c r="D25" s="80">
        <v>2.7E-2</v>
      </c>
      <c r="E25" s="80">
        <v>1676.7819999999999</v>
      </c>
      <c r="F25" s="80">
        <v>0.79100000000000004</v>
      </c>
      <c r="G25" s="80">
        <v>2.488</v>
      </c>
      <c r="H25" s="47"/>
      <c r="I25" s="72">
        <f t="shared" si="1"/>
        <v>0.75485348816111764</v>
      </c>
      <c r="J25" s="72">
        <f t="shared" si="2"/>
        <v>8.3915449514651168E-5</v>
      </c>
      <c r="K25" s="72">
        <f t="shared" si="3"/>
        <v>1.2247119658895036E-5</v>
      </c>
      <c r="L25" s="72">
        <f t="shared" si="4"/>
        <v>0.76058332577338283</v>
      </c>
      <c r="M25" s="72">
        <f t="shared" si="5"/>
        <v>3.5879524630318425E-4</v>
      </c>
      <c r="N25" s="72">
        <f t="shared" si="6"/>
        <v>1.1285493967159574E-3</v>
      </c>
      <c r="O25" s="47"/>
      <c r="P25" s="72">
        <f t="shared" si="7"/>
        <v>0.75485348816111764</v>
      </c>
      <c r="Q25" s="47">
        <f t="shared" si="8"/>
        <v>2.0978862378662794E-3</v>
      </c>
      <c r="R25" s="47">
        <f t="shared" si="9"/>
        <v>3.6496416583507206E-3</v>
      </c>
      <c r="S25" s="73">
        <f t="shared" si="10"/>
        <v>0.76058332577338283</v>
      </c>
    </row>
    <row r="26" spans="1:19" x14ac:dyDescent="0.2">
      <c r="A26" s="79" t="s">
        <v>128</v>
      </c>
      <c r="B26" s="80">
        <v>1027.9280000000001</v>
      </c>
      <c r="C26" s="80">
        <v>8.1000000000000003E-2</v>
      </c>
      <c r="D26" s="80">
        <v>1.2E-2</v>
      </c>
      <c r="E26" s="80">
        <v>1033.471</v>
      </c>
      <c r="F26" s="80">
        <v>0.433</v>
      </c>
      <c r="G26" s="80">
        <v>0.29699999999999999</v>
      </c>
      <c r="H26" s="47"/>
      <c r="I26" s="72">
        <f t="shared" si="1"/>
        <v>0.46626508210106149</v>
      </c>
      <c r="J26" s="72">
        <f t="shared" si="2"/>
        <v>3.6741358976685108E-5</v>
      </c>
      <c r="K26" s="72">
        <f t="shared" si="3"/>
        <v>5.4431642928422391E-6</v>
      </c>
      <c r="L26" s="72">
        <f t="shared" si="4"/>
        <v>0.46877937040733009</v>
      </c>
      <c r="M26" s="72">
        <f t="shared" si="5"/>
        <v>1.9640751156672413E-4</v>
      </c>
      <c r="N26" s="72">
        <f t="shared" si="6"/>
        <v>1.3471831624784538E-4</v>
      </c>
      <c r="O26" s="47"/>
      <c r="P26" s="72">
        <f t="shared" si="7"/>
        <v>0.46626508210106149</v>
      </c>
      <c r="Q26" s="47">
        <f t="shared" si="8"/>
        <v>9.1853397441712774E-4</v>
      </c>
      <c r="R26" s="47">
        <f t="shared" si="9"/>
        <v>1.6220629592669873E-3</v>
      </c>
      <c r="S26" s="73">
        <f t="shared" si="10"/>
        <v>0.46877937040733009</v>
      </c>
    </row>
    <row r="27" spans="1:19" x14ac:dyDescent="0.2">
      <c r="A27" s="79" t="s">
        <v>129</v>
      </c>
      <c r="B27" s="80">
        <v>1031.537</v>
      </c>
      <c r="C27" s="80">
        <v>9.7000000000000003E-2</v>
      </c>
      <c r="D27" s="80">
        <v>1.4E-2</v>
      </c>
      <c r="E27" s="80">
        <v>1038.127</v>
      </c>
      <c r="F27" s="80">
        <v>0.504</v>
      </c>
      <c r="G27" s="80">
        <v>0.61899999999999999</v>
      </c>
      <c r="H27" s="47"/>
      <c r="I27" s="72">
        <f t="shared" si="1"/>
        <v>0.4679021137621337</v>
      </c>
      <c r="J27" s="72">
        <f t="shared" si="2"/>
        <v>4.399891136714143E-5</v>
      </c>
      <c r="K27" s="72">
        <f t="shared" si="3"/>
        <v>6.3503583416492785E-6</v>
      </c>
      <c r="L27" s="72">
        <f t="shared" si="4"/>
        <v>0.47089131815295288</v>
      </c>
      <c r="M27" s="72">
        <f t="shared" si="5"/>
        <v>2.2861290029937403E-4</v>
      </c>
      <c r="N27" s="72">
        <f t="shared" si="6"/>
        <v>2.8077655810577876E-4</v>
      </c>
      <c r="O27" s="47"/>
      <c r="P27" s="72">
        <f t="shared" si="7"/>
        <v>0.4679021137621337</v>
      </c>
      <c r="Q27" s="47">
        <f t="shared" si="8"/>
        <v>1.0999727841785358E-3</v>
      </c>
      <c r="R27" s="47">
        <f t="shared" si="9"/>
        <v>1.892406785811485E-3</v>
      </c>
      <c r="S27" s="73">
        <f t="shared" si="10"/>
        <v>0.47089131815295288</v>
      </c>
    </row>
    <row r="28" spans="1:19" ht="17" thickBot="1" x14ac:dyDescent="0.25">
      <c r="A28" s="81" t="s">
        <v>130</v>
      </c>
      <c r="B28" s="82">
        <v>743.32799999999997</v>
      </c>
      <c r="C28" s="82">
        <v>6.7000000000000004E-2</v>
      </c>
      <c r="D28" s="82">
        <v>8.9999999999999993E-3</v>
      </c>
      <c r="E28" s="82">
        <v>747.51300000000003</v>
      </c>
      <c r="F28" s="82">
        <v>0.42599999999999999</v>
      </c>
      <c r="G28" s="82">
        <v>0.26300000000000001</v>
      </c>
      <c r="H28" s="74"/>
      <c r="I28" s="75">
        <f t="shared" si="1"/>
        <v>0.33717136895581962</v>
      </c>
      <c r="J28" s="75">
        <f t="shared" si="2"/>
        <v>3.0391000635035835E-5</v>
      </c>
      <c r="K28" s="75">
        <f t="shared" si="3"/>
        <v>4.0823732196316787E-6</v>
      </c>
      <c r="L28" s="75">
        <f t="shared" si="4"/>
        <v>0.33906967250294839</v>
      </c>
      <c r="M28" s="75">
        <f t="shared" si="5"/>
        <v>1.9323233239589946E-4</v>
      </c>
      <c r="N28" s="75">
        <f t="shared" si="6"/>
        <v>1.1929601741812573E-4</v>
      </c>
      <c r="O28" s="74"/>
      <c r="P28" s="75">
        <f t="shared" si="7"/>
        <v>0.33717136895581962</v>
      </c>
      <c r="Q28" s="74">
        <f t="shared" si="8"/>
        <v>7.5977501587589584E-4</v>
      </c>
      <c r="R28" s="74">
        <f t="shared" si="9"/>
        <v>1.2165472194502402E-3</v>
      </c>
      <c r="S28" s="76">
        <f t="shared" si="10"/>
        <v>0.33906967250294839</v>
      </c>
    </row>
    <row r="29" spans="1:19" ht="17" thickBot="1" x14ac:dyDescent="0.25">
      <c r="P29" s="35"/>
      <c r="S29" s="35"/>
    </row>
    <row r="30" spans="1:19" x14ac:dyDescent="0.2">
      <c r="A30" s="36" t="s">
        <v>201</v>
      </c>
      <c r="B30" s="37"/>
      <c r="C30" s="37"/>
      <c r="D30" s="38"/>
    </row>
    <row r="31" spans="1:19" ht="17" thickBot="1" x14ac:dyDescent="0.25">
      <c r="A31" s="133" t="s">
        <v>202</v>
      </c>
      <c r="B31" s="134"/>
      <c r="C31" s="134" t="s">
        <v>203</v>
      </c>
      <c r="D31" s="135"/>
    </row>
    <row r="32" spans="1:19" x14ac:dyDescent="0.2">
      <c r="A32" s="33" t="s">
        <v>193</v>
      </c>
    </row>
    <row r="34" spans="1:23" s="69" customFormat="1" ht="17" thickBot="1" x14ac:dyDescent="0.25">
      <c r="A34" s="69" t="s">
        <v>174</v>
      </c>
    </row>
    <row r="35" spans="1:23" x14ac:dyDescent="0.2">
      <c r="A35" s="138" t="s">
        <v>234</v>
      </c>
      <c r="B35" s="139"/>
      <c r="C35" s="139"/>
      <c r="D35" s="139"/>
      <c r="E35" s="139"/>
      <c r="F35" s="139"/>
      <c r="G35" s="139"/>
      <c r="H35" s="140"/>
      <c r="J35" s="144" t="s">
        <v>256</v>
      </c>
      <c r="K35" s="145"/>
      <c r="L35" s="146"/>
      <c r="N35" s="138" t="s">
        <v>259</v>
      </c>
      <c r="O35" s="139"/>
      <c r="P35" s="139"/>
      <c r="Q35" s="139"/>
      <c r="R35" s="139"/>
      <c r="S35" s="139"/>
      <c r="T35" s="139"/>
      <c r="U35" s="139"/>
      <c r="V35" s="139"/>
      <c r="W35" s="140"/>
    </row>
    <row r="36" spans="1:23" x14ac:dyDescent="0.2">
      <c r="A36" s="141"/>
      <c r="B36" s="142"/>
      <c r="C36" s="142"/>
      <c r="D36" s="142"/>
      <c r="E36" s="142"/>
      <c r="F36" s="142"/>
      <c r="G36" s="142"/>
      <c r="H36" s="143"/>
      <c r="J36" s="147"/>
      <c r="K36" s="148"/>
      <c r="L36" s="149"/>
      <c r="N36" s="141"/>
      <c r="O36" s="142"/>
      <c r="P36" s="142"/>
      <c r="Q36" s="142"/>
      <c r="R36" s="142"/>
      <c r="S36" s="142"/>
      <c r="T36" s="142"/>
      <c r="U36" s="142"/>
      <c r="V36" s="142"/>
      <c r="W36" s="143"/>
    </row>
    <row r="37" spans="1:23" x14ac:dyDescent="0.2">
      <c r="A37" s="87"/>
      <c r="B37" s="34"/>
      <c r="C37" s="136" t="s">
        <v>252</v>
      </c>
      <c r="D37" s="136"/>
      <c r="E37" s="136"/>
      <c r="F37" s="136" t="s">
        <v>257</v>
      </c>
      <c r="G37" s="136"/>
      <c r="H37" s="137"/>
      <c r="J37" s="87"/>
      <c r="K37" s="34"/>
      <c r="L37" s="88"/>
      <c r="N37" s="150" t="s">
        <v>298</v>
      </c>
      <c r="O37" s="151"/>
      <c r="P37" s="151"/>
      <c r="Q37" s="151"/>
      <c r="R37" s="152"/>
      <c r="S37" s="153" t="s">
        <v>299</v>
      </c>
      <c r="T37" s="151"/>
      <c r="U37" s="151"/>
      <c r="V37" s="151"/>
      <c r="W37" s="154"/>
    </row>
    <row r="38" spans="1:23" x14ac:dyDescent="0.2">
      <c r="A38" s="87" t="s">
        <v>235</v>
      </c>
      <c r="B38" s="34"/>
      <c r="C38" s="136" t="s">
        <v>253</v>
      </c>
      <c r="D38" s="136"/>
      <c r="E38" s="136"/>
      <c r="F38" s="136" t="s">
        <v>253</v>
      </c>
      <c r="G38" s="136"/>
      <c r="H38" s="137"/>
      <c r="J38" s="87"/>
      <c r="K38" s="34">
        <v>2018</v>
      </c>
      <c r="L38" s="88">
        <v>2017</v>
      </c>
      <c r="N38" s="87"/>
      <c r="O38" s="136" t="s">
        <v>261</v>
      </c>
      <c r="P38" s="136"/>
      <c r="Q38" s="136"/>
      <c r="R38" s="136"/>
      <c r="S38" s="136" t="s">
        <v>62</v>
      </c>
      <c r="T38" s="136"/>
      <c r="U38" s="136"/>
      <c r="V38" s="136"/>
      <c r="W38" s="88"/>
    </row>
    <row r="39" spans="1:23" x14ac:dyDescent="0.2">
      <c r="A39" s="87" t="s">
        <v>235</v>
      </c>
      <c r="B39" s="34" t="s">
        <v>236</v>
      </c>
      <c r="C39" s="34" t="s">
        <v>237</v>
      </c>
      <c r="D39" s="34" t="s">
        <v>238</v>
      </c>
      <c r="E39" s="34" t="s">
        <v>239</v>
      </c>
      <c r="F39" s="83" t="s">
        <v>237</v>
      </c>
      <c r="G39" s="83" t="s">
        <v>238</v>
      </c>
      <c r="H39" s="89" t="s">
        <v>239</v>
      </c>
      <c r="J39" s="87" t="s">
        <v>254</v>
      </c>
      <c r="K39" s="34" t="s">
        <v>255</v>
      </c>
      <c r="L39" s="88"/>
      <c r="N39" s="87" t="s">
        <v>260</v>
      </c>
      <c r="O39" s="34" t="s">
        <v>237</v>
      </c>
      <c r="P39" s="34" t="s">
        <v>238</v>
      </c>
      <c r="Q39" s="34" t="s">
        <v>239</v>
      </c>
      <c r="R39" s="34" t="s">
        <v>262</v>
      </c>
      <c r="S39" s="34" t="str">
        <f>O39</f>
        <v>CH₄</v>
      </c>
      <c r="T39" s="34" t="str">
        <f t="shared" ref="T39:U39" si="11">P39</f>
        <v>CO₂</v>
      </c>
      <c r="U39" s="34" t="str">
        <f t="shared" si="11"/>
        <v>N₂O</v>
      </c>
      <c r="V39" s="34" t="s">
        <v>61</v>
      </c>
      <c r="W39" s="88" t="s">
        <v>48</v>
      </c>
    </row>
    <row r="40" spans="1:23" x14ac:dyDescent="0.2">
      <c r="A40" s="90" t="s">
        <v>3</v>
      </c>
      <c r="B40" s="84" t="s">
        <v>240</v>
      </c>
      <c r="C40" s="85">
        <v>23.91259943696172</v>
      </c>
      <c r="D40" s="85">
        <v>181906.69708234622</v>
      </c>
      <c r="E40" s="85">
        <v>2.23471533417512</v>
      </c>
      <c r="F40" s="86">
        <v>24.259827357651499</v>
      </c>
      <c r="G40" s="86">
        <v>188411.16339142923</v>
      </c>
      <c r="H40" s="91">
        <v>2.5265407458867801</v>
      </c>
      <c r="J40" s="98" t="s">
        <v>3</v>
      </c>
      <c r="K40" s="97">
        <v>248.78018</v>
      </c>
      <c r="L40" s="88"/>
      <c r="N40" s="87" t="str">
        <f>J40</f>
        <v>Australia</v>
      </c>
      <c r="O40" s="101">
        <f t="shared" ref="O40:O50" si="12">C40/($K40*1000)</f>
        <v>9.6119391170798734E-5</v>
      </c>
      <c r="P40" s="101">
        <f t="shared" ref="P40:P50" si="13">D40/($K40*1000)</f>
        <v>0.73119449098535994</v>
      </c>
      <c r="Q40" s="101">
        <f t="shared" ref="Q40:Q50" si="14">E40/($K40*1000)</f>
        <v>8.9826903983071321E-6</v>
      </c>
      <c r="R40" s="101">
        <f>V40</f>
        <v>0.73627431750332539</v>
      </c>
      <c r="S40" s="101">
        <f>O40*25</f>
        <v>2.4029847792699684E-3</v>
      </c>
      <c r="T40" s="101">
        <f>P40</f>
        <v>0.73119449098535994</v>
      </c>
      <c r="U40" s="101">
        <f>Q40*298</f>
        <v>2.6768417386955254E-3</v>
      </c>
      <c r="V40" s="101">
        <f>SUM(S40:U40)</f>
        <v>0.73627431750332539</v>
      </c>
      <c r="W40" s="88">
        <v>2018</v>
      </c>
    </row>
    <row r="41" spans="1:23" x14ac:dyDescent="0.2">
      <c r="A41" s="90" t="s">
        <v>4</v>
      </c>
      <c r="B41" s="84" t="s">
        <v>240</v>
      </c>
      <c r="C41" s="85">
        <v>0.86653805138324003</v>
      </c>
      <c r="D41" s="85">
        <v>6909.1657148218328</v>
      </c>
      <c r="E41" s="85">
        <v>0.31787176013029</v>
      </c>
      <c r="F41" s="86">
        <v>0.91900609819682</v>
      </c>
      <c r="G41" s="86">
        <v>7840.6748198082778</v>
      </c>
      <c r="H41" s="91">
        <v>0.33182451178542</v>
      </c>
      <c r="J41" s="98" t="s">
        <v>4</v>
      </c>
      <c r="K41" s="97">
        <v>61.073039999999999</v>
      </c>
      <c r="L41" s="88"/>
      <c r="N41" s="87" t="str">
        <f t="shared" ref="N41:N84" si="15">J41</f>
        <v>Austria</v>
      </c>
      <c r="O41" s="101">
        <f t="shared" si="12"/>
        <v>1.4188552778496698E-5</v>
      </c>
      <c r="P41" s="101">
        <f t="shared" si="13"/>
        <v>0.11312955298805877</v>
      </c>
      <c r="Q41" s="101">
        <f t="shared" si="14"/>
        <v>5.2047803765833504E-6</v>
      </c>
      <c r="R41" s="101">
        <f t="shared" ref="R41:R50" si="16">V41</f>
        <v>0.11503529135974302</v>
      </c>
      <c r="S41" s="101">
        <f t="shared" ref="S41:S50" si="17">O41*25</f>
        <v>3.5471381946241746E-4</v>
      </c>
      <c r="T41" s="101">
        <f t="shared" ref="T41:T50" si="18">P41</f>
        <v>0.11312955298805877</v>
      </c>
      <c r="U41" s="101">
        <f t="shared" ref="U41:U50" si="19">Q41*298</f>
        <v>1.5510245522218384E-3</v>
      </c>
      <c r="V41" s="101">
        <f t="shared" ref="V41:V50" si="20">SUM(S41:U41)</f>
        <v>0.11503529135974302</v>
      </c>
      <c r="W41" s="88">
        <v>2018</v>
      </c>
    </row>
    <row r="42" spans="1:23" x14ac:dyDescent="0.2">
      <c r="A42" s="90" t="s">
        <v>241</v>
      </c>
      <c r="B42" s="84" t="s">
        <v>240</v>
      </c>
      <c r="C42" s="85">
        <v>0.72704094600000002</v>
      </c>
      <c r="D42" s="85">
        <v>28458.319883</v>
      </c>
      <c r="E42" s="85">
        <v>9.0050798000000001E-2</v>
      </c>
      <c r="F42" s="86">
        <v>0.97900429200000005</v>
      </c>
      <c r="G42" s="86">
        <v>26692.049407999999</v>
      </c>
      <c r="H42" s="91">
        <v>0.1241</v>
      </c>
      <c r="J42" s="90" t="s">
        <v>241</v>
      </c>
      <c r="K42" s="97">
        <v>36.395240000000001</v>
      </c>
      <c r="L42" s="88"/>
      <c r="N42" s="87" t="str">
        <f t="shared" si="15"/>
        <v>Belarus</v>
      </c>
      <c r="O42" s="101">
        <f t="shared" si="12"/>
        <v>1.9976264643398423E-5</v>
      </c>
      <c r="P42" s="101">
        <f t="shared" si="13"/>
        <v>0.78192422643730342</v>
      </c>
      <c r="Q42" s="101">
        <f t="shared" si="14"/>
        <v>2.4742465772996691E-6</v>
      </c>
      <c r="R42" s="101">
        <f t="shared" si="16"/>
        <v>0.78316095853342371</v>
      </c>
      <c r="S42" s="101">
        <f t="shared" si="17"/>
        <v>4.9940661608496059E-4</v>
      </c>
      <c r="T42" s="101">
        <f t="shared" si="18"/>
        <v>0.78192422643730342</v>
      </c>
      <c r="U42" s="101">
        <f t="shared" si="19"/>
        <v>7.3732548003530138E-4</v>
      </c>
      <c r="V42" s="101">
        <f t="shared" si="20"/>
        <v>0.78316095853342371</v>
      </c>
      <c r="W42" s="88">
        <v>2018</v>
      </c>
    </row>
    <row r="43" spans="1:23" x14ac:dyDescent="0.2">
      <c r="A43" s="90" t="s">
        <v>5</v>
      </c>
      <c r="B43" s="84" t="s">
        <v>240</v>
      </c>
      <c r="C43" s="85">
        <v>0.95721041905716997</v>
      </c>
      <c r="D43" s="85">
        <v>15176.787545667672</v>
      </c>
      <c r="E43" s="85">
        <v>0.30785791522247002</v>
      </c>
      <c r="F43" s="86">
        <v>0.98494596119003996</v>
      </c>
      <c r="G43" s="86">
        <v>15017.713098904116</v>
      </c>
      <c r="H43" s="91">
        <v>0.31532947957773999</v>
      </c>
      <c r="J43" s="90" t="s">
        <v>5</v>
      </c>
      <c r="K43" s="97">
        <v>69.386340000000004</v>
      </c>
      <c r="L43" s="88"/>
      <c r="N43" s="87" t="str">
        <f t="shared" si="15"/>
        <v>Belgium</v>
      </c>
      <c r="O43" s="101">
        <f t="shared" si="12"/>
        <v>1.3795372677924356E-5</v>
      </c>
      <c r="P43" s="101">
        <f t="shared" si="13"/>
        <v>0.2187287518792268</v>
      </c>
      <c r="Q43" s="101">
        <f t="shared" si="14"/>
        <v>4.4368663230034904E-6</v>
      </c>
      <c r="R43" s="101">
        <f t="shared" si="16"/>
        <v>0.22039582236042993</v>
      </c>
      <c r="S43" s="101">
        <f t="shared" si="17"/>
        <v>3.4488431694810893E-4</v>
      </c>
      <c r="T43" s="101">
        <f t="shared" si="18"/>
        <v>0.2187287518792268</v>
      </c>
      <c r="U43" s="101">
        <f t="shared" si="19"/>
        <v>1.3221861642550401E-3</v>
      </c>
      <c r="V43" s="101">
        <f t="shared" si="20"/>
        <v>0.22039582236042993</v>
      </c>
      <c r="W43" s="88">
        <v>2018</v>
      </c>
    </row>
    <row r="44" spans="1:23" x14ac:dyDescent="0.2">
      <c r="A44" s="90" t="s">
        <v>6</v>
      </c>
      <c r="B44" s="84" t="s">
        <v>240</v>
      </c>
      <c r="C44" s="85">
        <v>0.71540804258599999</v>
      </c>
      <c r="D44" s="85">
        <v>22564.424240848497</v>
      </c>
      <c r="E44" s="85">
        <v>0.37434530080939998</v>
      </c>
      <c r="F44" s="86">
        <v>0.31658184659400002</v>
      </c>
      <c r="G44" s="86">
        <v>26677.874015679376</v>
      </c>
      <c r="H44" s="91">
        <v>0.36386314468219999</v>
      </c>
      <c r="J44" s="90" t="s">
        <v>6</v>
      </c>
      <c r="K44" s="97">
        <v>43.432279999999999</v>
      </c>
      <c r="L44" s="88"/>
      <c r="N44" s="87" t="str">
        <f t="shared" si="15"/>
        <v>Bulgaria</v>
      </c>
      <c r="O44" s="101">
        <f t="shared" si="12"/>
        <v>1.6471804901469598E-5</v>
      </c>
      <c r="P44" s="101">
        <f t="shared" si="13"/>
        <v>0.51953119294792949</v>
      </c>
      <c r="Q44" s="101">
        <f t="shared" si="14"/>
        <v>8.6190570886308519E-6</v>
      </c>
      <c r="R44" s="101">
        <f t="shared" si="16"/>
        <v>0.52251146708287821</v>
      </c>
      <c r="S44" s="101">
        <f t="shared" si="17"/>
        <v>4.1179512253673993E-4</v>
      </c>
      <c r="T44" s="101">
        <f t="shared" si="18"/>
        <v>0.51953119294792949</v>
      </c>
      <c r="U44" s="101">
        <f t="shared" si="19"/>
        <v>2.568479012411994E-3</v>
      </c>
      <c r="V44" s="101">
        <f t="shared" si="20"/>
        <v>0.52251146708287821</v>
      </c>
      <c r="W44" s="88">
        <v>2018</v>
      </c>
    </row>
    <row r="45" spans="1:23" x14ac:dyDescent="0.2">
      <c r="A45" s="90" t="s">
        <v>7</v>
      </c>
      <c r="B45" s="84" t="s">
        <v>240</v>
      </c>
      <c r="C45" s="85">
        <v>6.1171993162845997</v>
      </c>
      <c r="D45" s="85">
        <v>69298.773579947563</v>
      </c>
      <c r="E45" s="85">
        <v>1.4767646383869999</v>
      </c>
      <c r="F45" s="86">
        <v>5.0886471170165901</v>
      </c>
      <c r="G45" s="86">
        <v>77869.022824448417</v>
      </c>
      <c r="H45" s="91">
        <v>1.59450008782466</v>
      </c>
      <c r="J45" s="90" t="s">
        <v>7</v>
      </c>
      <c r="K45" s="97">
        <v>633.24767999999995</v>
      </c>
      <c r="L45" s="88"/>
      <c r="N45" s="87" t="str">
        <f t="shared" si="15"/>
        <v>Canada</v>
      </c>
      <c r="O45" s="101">
        <f t="shared" si="12"/>
        <v>9.6600422069996385E-6</v>
      </c>
      <c r="P45" s="101">
        <f t="shared" si="13"/>
        <v>0.10943391625208571</v>
      </c>
      <c r="Q45" s="101">
        <f t="shared" si="14"/>
        <v>2.3320490307789205E-6</v>
      </c>
      <c r="R45" s="101">
        <f t="shared" si="16"/>
        <v>0.11037036791843281</v>
      </c>
      <c r="S45" s="101">
        <f t="shared" si="17"/>
        <v>2.4150105517499096E-4</v>
      </c>
      <c r="T45" s="101">
        <f t="shared" si="18"/>
        <v>0.10943391625208571</v>
      </c>
      <c r="U45" s="101">
        <f t="shared" si="19"/>
        <v>6.9495061117211829E-4</v>
      </c>
      <c r="V45" s="101">
        <f t="shared" si="20"/>
        <v>0.11037036791843281</v>
      </c>
      <c r="W45" s="88">
        <v>2018</v>
      </c>
    </row>
    <row r="46" spans="1:23" x14ac:dyDescent="0.2">
      <c r="A46" s="90" t="s">
        <v>8</v>
      </c>
      <c r="B46" s="84" t="s">
        <v>240</v>
      </c>
      <c r="C46" s="85">
        <v>0.28074168723868997</v>
      </c>
      <c r="D46" s="85">
        <v>2385.3078374946931</v>
      </c>
      <c r="E46" s="85">
        <v>6.9010869638120004E-2</v>
      </c>
      <c r="F46" s="86">
        <v>0.24214733388483001</v>
      </c>
      <c r="G46" s="86">
        <v>2895.7125965243085</v>
      </c>
      <c r="H46" s="91">
        <v>6.5877959244240003E-2</v>
      </c>
      <c r="J46" s="90" t="s">
        <v>8</v>
      </c>
      <c r="K46" s="97">
        <v>13.09186</v>
      </c>
      <c r="L46" s="88"/>
      <c r="N46" s="87" t="str">
        <f t="shared" si="15"/>
        <v>Croatia</v>
      </c>
      <c r="O46" s="101">
        <f t="shared" si="12"/>
        <v>2.1443987885502132E-5</v>
      </c>
      <c r="P46" s="101">
        <f t="shared" si="13"/>
        <v>0.18219778071982842</v>
      </c>
      <c r="Q46" s="101">
        <f t="shared" si="14"/>
        <v>5.2712807529350298E-6</v>
      </c>
      <c r="R46" s="101">
        <f t="shared" si="16"/>
        <v>0.18430472208134061</v>
      </c>
      <c r="S46" s="101">
        <f t="shared" si="17"/>
        <v>5.3609969713755326E-4</v>
      </c>
      <c r="T46" s="101">
        <f t="shared" si="18"/>
        <v>0.18219778071982842</v>
      </c>
      <c r="U46" s="101">
        <f t="shared" si="19"/>
        <v>1.570841664374639E-3</v>
      </c>
      <c r="V46" s="101">
        <f t="shared" si="20"/>
        <v>0.18430472208134061</v>
      </c>
      <c r="W46" s="88">
        <v>2018</v>
      </c>
    </row>
    <row r="47" spans="1:23" x14ac:dyDescent="0.2">
      <c r="A47" s="90" t="s">
        <v>9</v>
      </c>
      <c r="B47" s="84" t="s">
        <v>240</v>
      </c>
      <c r="C47" s="85">
        <v>0.12935680940478</v>
      </c>
      <c r="D47" s="85">
        <v>3342.3598999999999</v>
      </c>
      <c r="E47" s="85">
        <v>2.5871361880959998E-2</v>
      </c>
      <c r="F47" s="86">
        <v>0.1275</v>
      </c>
      <c r="G47" s="86">
        <v>3287.83</v>
      </c>
      <c r="H47" s="91">
        <v>2.5499999999999998E-2</v>
      </c>
      <c r="J47" s="90" t="s">
        <v>9</v>
      </c>
      <c r="K47" s="97">
        <v>4.7780199999999997</v>
      </c>
      <c r="L47" s="88"/>
      <c r="N47" s="87" t="str">
        <f t="shared" si="15"/>
        <v>Cyprus</v>
      </c>
      <c r="O47" s="101">
        <f t="shared" si="12"/>
        <v>2.7073308484430793E-5</v>
      </c>
      <c r="P47" s="101">
        <f t="shared" si="13"/>
        <v>0.69952823554526777</v>
      </c>
      <c r="Q47" s="101">
        <f t="shared" si="14"/>
        <v>5.4146616968869951E-6</v>
      </c>
      <c r="R47" s="101">
        <f t="shared" si="16"/>
        <v>0.70181863744305084</v>
      </c>
      <c r="S47" s="101">
        <f t="shared" si="17"/>
        <v>6.7683271211076981E-4</v>
      </c>
      <c r="T47" s="101">
        <f t="shared" si="18"/>
        <v>0.69952823554526777</v>
      </c>
      <c r="U47" s="101">
        <f t="shared" si="19"/>
        <v>1.6135691856723245E-3</v>
      </c>
      <c r="V47" s="101">
        <f t="shared" si="20"/>
        <v>0.70181863744305084</v>
      </c>
      <c r="W47" s="88">
        <v>2018</v>
      </c>
    </row>
    <row r="48" spans="1:23" x14ac:dyDescent="0.2">
      <c r="A48" s="90" t="s">
        <v>12</v>
      </c>
      <c r="B48" s="84" t="s">
        <v>240</v>
      </c>
      <c r="C48" s="85">
        <v>1.26023237539883</v>
      </c>
      <c r="D48" s="85">
        <v>44524.330655690326</v>
      </c>
      <c r="E48" s="85">
        <v>0.73740742180828001</v>
      </c>
      <c r="F48" s="86">
        <v>1.3064084604055599</v>
      </c>
      <c r="G48" s="86">
        <v>45066.146389021276</v>
      </c>
      <c r="H48" s="91">
        <v>0.75015561818957999</v>
      </c>
      <c r="J48" s="90" t="s">
        <v>12</v>
      </c>
      <c r="K48" s="97">
        <v>81.876959999999997</v>
      </c>
      <c r="L48" s="88"/>
      <c r="N48" s="87" t="str">
        <f t="shared" si="15"/>
        <v>Czechia</v>
      </c>
      <c r="O48" s="101">
        <f t="shared" si="12"/>
        <v>1.539178268708108E-5</v>
      </c>
      <c r="P48" s="101">
        <f t="shared" si="13"/>
        <v>0.54379560080992662</v>
      </c>
      <c r="Q48" s="101">
        <f t="shared" si="14"/>
        <v>9.0062872608885346E-6</v>
      </c>
      <c r="R48" s="101">
        <f t="shared" si="16"/>
        <v>0.54686426898084839</v>
      </c>
      <c r="S48" s="101">
        <f t="shared" si="17"/>
        <v>3.8479456717702701E-4</v>
      </c>
      <c r="T48" s="101">
        <f t="shared" si="18"/>
        <v>0.54379560080992662</v>
      </c>
      <c r="U48" s="101">
        <f t="shared" si="19"/>
        <v>2.6838736037447831E-3</v>
      </c>
      <c r="V48" s="101">
        <f t="shared" si="20"/>
        <v>0.54686426898084839</v>
      </c>
      <c r="W48" s="88">
        <v>2018</v>
      </c>
    </row>
    <row r="49" spans="1:23" x14ac:dyDescent="0.2">
      <c r="A49" s="90" t="s">
        <v>10</v>
      </c>
      <c r="B49" s="84" t="s">
        <v>240</v>
      </c>
      <c r="C49" s="85">
        <v>4.41686023558416</v>
      </c>
      <c r="D49" s="85">
        <v>9345.0905033075087</v>
      </c>
      <c r="E49" s="85">
        <v>0.26497980858474002</v>
      </c>
      <c r="F49" s="86">
        <v>4.01863168996839</v>
      </c>
      <c r="G49" s="86">
        <v>9295.5097077625542</v>
      </c>
      <c r="H49" s="91">
        <v>0.26369829949085</v>
      </c>
      <c r="J49" s="90" t="s">
        <v>10</v>
      </c>
      <c r="K49" s="97">
        <v>29.47926</v>
      </c>
      <c r="L49" s="88"/>
      <c r="N49" s="87" t="str">
        <f t="shared" si="15"/>
        <v>Denmark</v>
      </c>
      <c r="O49" s="101">
        <f t="shared" si="12"/>
        <v>1.4982941347863415E-4</v>
      </c>
      <c r="P49" s="101">
        <f t="shared" si="13"/>
        <v>0.31700559998139399</v>
      </c>
      <c r="Q49" s="101">
        <f t="shared" si="14"/>
        <v>8.9886858959397231E-6</v>
      </c>
      <c r="R49" s="101">
        <f t="shared" si="16"/>
        <v>0.32342996371534988</v>
      </c>
      <c r="S49" s="101">
        <f t="shared" si="17"/>
        <v>3.7457353369658537E-3</v>
      </c>
      <c r="T49" s="101">
        <f t="shared" si="18"/>
        <v>0.31700559998139399</v>
      </c>
      <c r="U49" s="101">
        <f t="shared" si="19"/>
        <v>2.6786283969900374E-3</v>
      </c>
      <c r="V49" s="101">
        <f t="shared" si="20"/>
        <v>0.32342996371534988</v>
      </c>
      <c r="W49" s="88">
        <v>2018</v>
      </c>
    </row>
    <row r="50" spans="1:23" x14ac:dyDescent="0.2">
      <c r="A50" s="90" t="s">
        <v>11</v>
      </c>
      <c r="B50" s="84" t="s">
        <v>240</v>
      </c>
      <c r="C50" s="85">
        <v>0.74219485941475005</v>
      </c>
      <c r="D50" s="85">
        <v>12172.15479744599</v>
      </c>
      <c r="E50" s="85">
        <v>0.13499566950520001</v>
      </c>
      <c r="F50" s="86">
        <v>0.81094037643828998</v>
      </c>
      <c r="G50" s="86">
        <v>13176.40055783656</v>
      </c>
      <c r="H50" s="91">
        <v>0.14355263039072999</v>
      </c>
      <c r="J50" s="90" t="s">
        <v>11</v>
      </c>
      <c r="K50" s="97">
        <v>11.519740000000001</v>
      </c>
      <c r="L50" s="88"/>
      <c r="N50" s="87" t="str">
        <f t="shared" si="15"/>
        <v>Estonia</v>
      </c>
      <c r="O50" s="101">
        <f t="shared" si="12"/>
        <v>6.4428091208200024E-5</v>
      </c>
      <c r="P50" s="101">
        <f t="shared" si="13"/>
        <v>1.0566345071543273</v>
      </c>
      <c r="Q50" s="101">
        <f t="shared" si="14"/>
        <v>1.1718638572155274E-5</v>
      </c>
      <c r="R50" s="101">
        <f t="shared" si="16"/>
        <v>1.0617373637290346</v>
      </c>
      <c r="S50" s="101">
        <f t="shared" si="17"/>
        <v>1.6107022802050006E-3</v>
      </c>
      <c r="T50" s="101">
        <f t="shared" si="18"/>
        <v>1.0566345071543273</v>
      </c>
      <c r="U50" s="101">
        <f t="shared" si="19"/>
        <v>3.4921542945022719E-3</v>
      </c>
      <c r="V50" s="101">
        <f t="shared" si="20"/>
        <v>1.0617373637290346</v>
      </c>
      <c r="W50" s="88">
        <v>2018</v>
      </c>
    </row>
    <row r="51" spans="1:23" x14ac:dyDescent="0.2">
      <c r="A51" s="90" t="s">
        <v>242</v>
      </c>
      <c r="B51" s="84" t="s">
        <v>240</v>
      </c>
      <c r="C51" s="85">
        <v>143.6589151974091</v>
      </c>
      <c r="D51" s="85">
        <v>933924.62958370172</v>
      </c>
      <c r="E51" s="85">
        <v>21.524704960929171</v>
      </c>
      <c r="F51" s="86">
        <v>143.61266002562539</v>
      </c>
      <c r="G51" s="86">
        <v>999324.4071833808</v>
      </c>
      <c r="H51" s="91">
        <v>22.386364051433251</v>
      </c>
      <c r="J51" s="98"/>
      <c r="K51" s="97"/>
      <c r="L51" s="88"/>
      <c r="N51" s="87"/>
      <c r="O51" s="101"/>
      <c r="P51" s="101"/>
      <c r="Q51" s="101"/>
      <c r="R51" s="101"/>
      <c r="S51" s="101"/>
      <c r="T51" s="101"/>
      <c r="U51" s="101"/>
      <c r="V51" s="34"/>
      <c r="W51" s="88"/>
    </row>
    <row r="52" spans="1:23" x14ac:dyDescent="0.2">
      <c r="A52" s="90" t="s">
        <v>243</v>
      </c>
      <c r="B52" s="84" t="s">
        <v>240</v>
      </c>
      <c r="C52" s="85">
        <v>143.70211587303913</v>
      </c>
      <c r="D52" s="85">
        <v>934666.24435278215</v>
      </c>
      <c r="E52" s="85">
        <v>21.5317620676018</v>
      </c>
      <c r="F52" s="86">
        <v>143.65230612385102</v>
      </c>
      <c r="G52" s="86">
        <v>999986.31757453643</v>
      </c>
      <c r="H52" s="91">
        <v>22.392740887252959</v>
      </c>
      <c r="J52" s="98"/>
      <c r="K52" s="97"/>
      <c r="L52" s="88"/>
      <c r="N52" s="87"/>
      <c r="O52" s="101"/>
      <c r="P52" s="101"/>
      <c r="Q52" s="101"/>
      <c r="R52" s="101"/>
      <c r="S52" s="101"/>
      <c r="T52" s="101"/>
      <c r="U52" s="101"/>
      <c r="V52" s="34"/>
      <c r="W52" s="88"/>
    </row>
    <row r="53" spans="1:23" x14ac:dyDescent="0.2">
      <c r="A53" s="90" t="s">
        <v>13</v>
      </c>
      <c r="B53" s="84" t="s">
        <v>240</v>
      </c>
      <c r="C53" s="85">
        <v>1.23394877</v>
      </c>
      <c r="D53" s="85">
        <v>16427.623680979999</v>
      </c>
      <c r="E53" s="85">
        <v>0.87838521999999997</v>
      </c>
      <c r="F53" s="86">
        <v>1.1359213800000001</v>
      </c>
      <c r="G53" s="86">
        <v>15277.38138493</v>
      </c>
      <c r="H53" s="91">
        <v>0.78219234999999998</v>
      </c>
      <c r="J53" s="90" t="s">
        <v>13</v>
      </c>
      <c r="K53" s="97">
        <v>67.139790000000005</v>
      </c>
      <c r="L53" s="88"/>
      <c r="N53" s="87" t="str">
        <f t="shared" si="15"/>
        <v>Finland</v>
      </c>
      <c r="O53" s="101">
        <f t="shared" ref="O53:O63" si="21">C53/($K53*1000)</f>
        <v>1.8378799963479179E-5</v>
      </c>
      <c r="P53" s="101">
        <f t="shared" ref="P53:P63" si="22">D53/($K53*1000)</f>
        <v>0.24467791276946199</v>
      </c>
      <c r="Q53" s="101">
        <f t="shared" ref="Q53:Q63" si="23">E53/($K53*1000)</f>
        <v>1.3082930703238718E-5</v>
      </c>
      <c r="R53" s="101">
        <f>V53</f>
        <v>0.24903609611811409</v>
      </c>
      <c r="S53" s="101">
        <f>O53*25</f>
        <v>4.5946999908697949E-4</v>
      </c>
      <c r="T53" s="101">
        <f>P53</f>
        <v>0.24467791276946199</v>
      </c>
      <c r="U53" s="101">
        <f>Q53*298</f>
        <v>3.898713349565138E-3</v>
      </c>
      <c r="V53" s="101">
        <f>SUM(S53:U53)</f>
        <v>0.24903609611811409</v>
      </c>
      <c r="W53" s="88">
        <v>2018</v>
      </c>
    </row>
    <row r="54" spans="1:23" x14ac:dyDescent="0.2">
      <c r="A54" s="90" t="s">
        <v>14</v>
      </c>
      <c r="B54" s="84" t="s">
        <v>240</v>
      </c>
      <c r="C54" s="85">
        <v>1.47957279378144</v>
      </c>
      <c r="D54" s="85">
        <v>32660.538958792022</v>
      </c>
      <c r="E54" s="85">
        <v>0.92234322028500004</v>
      </c>
      <c r="F54" s="86">
        <v>1.7635891088227</v>
      </c>
      <c r="G54" s="86">
        <v>40081.206767952179</v>
      </c>
      <c r="H54" s="91">
        <v>1.02120188904647</v>
      </c>
      <c r="J54" s="90" t="s">
        <v>14</v>
      </c>
      <c r="K54" s="97">
        <v>549.78152799999998</v>
      </c>
      <c r="L54" s="88"/>
      <c r="N54" s="87" t="str">
        <f t="shared" si="15"/>
        <v>France</v>
      </c>
      <c r="O54" s="101">
        <f t="shared" si="21"/>
        <v>2.6912013562257046E-6</v>
      </c>
      <c r="P54" s="101">
        <f t="shared" si="22"/>
        <v>5.9406395623375741E-2</v>
      </c>
      <c r="Q54" s="101">
        <f t="shared" si="23"/>
        <v>1.677654074047028E-6</v>
      </c>
      <c r="R54" s="101">
        <f t="shared" ref="R54:R67" si="24">V54</f>
        <v>5.99736165713474E-2</v>
      </c>
      <c r="S54" s="101">
        <f t="shared" ref="S54:S63" si="25">O54*25</f>
        <v>6.7280033905642609E-5</v>
      </c>
      <c r="T54" s="101">
        <f t="shared" ref="T54:T63" si="26">P54</f>
        <v>5.9406395623375741E-2</v>
      </c>
      <c r="U54" s="101">
        <f t="shared" ref="U54:U63" si="27">Q54*298</f>
        <v>4.9994091406601433E-4</v>
      </c>
      <c r="V54" s="101">
        <f t="shared" ref="V54:V84" si="28">SUM(S54:U54)</f>
        <v>5.99736165713474E-2</v>
      </c>
      <c r="W54" s="88">
        <v>2018</v>
      </c>
    </row>
    <row r="55" spans="1:23" x14ac:dyDescent="0.2">
      <c r="A55" s="90" t="s">
        <v>15</v>
      </c>
      <c r="B55" s="84" t="s">
        <v>240</v>
      </c>
      <c r="C55" s="85">
        <v>100.13934175999999</v>
      </c>
      <c r="D55" s="85">
        <v>261532.73348473001</v>
      </c>
      <c r="E55" s="85">
        <v>7.3446477300000002</v>
      </c>
      <c r="F55" s="86">
        <v>101.24533624999999</v>
      </c>
      <c r="G55" s="86">
        <v>276487.67120747</v>
      </c>
      <c r="H55" s="91">
        <v>7.67337661</v>
      </c>
      <c r="J55" s="90" t="s">
        <v>15</v>
      </c>
      <c r="K55" s="97">
        <v>612.21556199999998</v>
      </c>
      <c r="L55" s="88"/>
      <c r="N55" s="87" t="str">
        <f t="shared" si="15"/>
        <v>Germany</v>
      </c>
      <c r="O55" s="101">
        <f t="shared" si="21"/>
        <v>1.6356876233734156E-4</v>
      </c>
      <c r="P55" s="101">
        <f t="shared" si="22"/>
        <v>0.42719060036688516</v>
      </c>
      <c r="Q55" s="101">
        <f t="shared" si="23"/>
        <v>1.1996832792041963E-5</v>
      </c>
      <c r="R55" s="101">
        <f t="shared" si="24"/>
        <v>0.4348548755973472</v>
      </c>
      <c r="S55" s="101">
        <f t="shared" si="25"/>
        <v>4.0892190584335391E-3</v>
      </c>
      <c r="T55" s="101">
        <f t="shared" si="26"/>
        <v>0.42719060036688516</v>
      </c>
      <c r="U55" s="101">
        <f t="shared" si="27"/>
        <v>3.5750561720285052E-3</v>
      </c>
      <c r="V55" s="101">
        <f t="shared" si="28"/>
        <v>0.4348548755973472</v>
      </c>
      <c r="W55" s="88">
        <v>2018</v>
      </c>
    </row>
    <row r="56" spans="1:23" x14ac:dyDescent="0.2">
      <c r="A56" s="90" t="s">
        <v>16</v>
      </c>
      <c r="B56" s="84" t="s">
        <v>240</v>
      </c>
      <c r="C56" s="85">
        <v>0.45390277198835999</v>
      </c>
      <c r="D56" s="85">
        <v>33173.820933030052</v>
      </c>
      <c r="E56" s="85">
        <v>0.33320865194466998</v>
      </c>
      <c r="F56" s="86">
        <v>0.47548021844947003</v>
      </c>
      <c r="G56" s="86">
        <v>34875.692986743634</v>
      </c>
      <c r="H56" s="91">
        <v>0.34998905789508999</v>
      </c>
      <c r="J56" s="90" t="s">
        <v>16</v>
      </c>
      <c r="K56" s="97">
        <v>50.2273</v>
      </c>
      <c r="L56" s="88"/>
      <c r="N56" s="87" t="str">
        <f t="shared" si="15"/>
        <v>Greece</v>
      </c>
      <c r="O56" s="101">
        <f t="shared" si="21"/>
        <v>9.0369733588777406E-6</v>
      </c>
      <c r="P56" s="101">
        <f t="shared" si="22"/>
        <v>0.66047390429169095</v>
      </c>
      <c r="Q56" s="101">
        <f t="shared" si="23"/>
        <v>6.6340148075781486E-6</v>
      </c>
      <c r="R56" s="101">
        <f t="shared" si="24"/>
        <v>0.66267676503832118</v>
      </c>
      <c r="S56" s="101">
        <f t="shared" si="25"/>
        <v>2.2592433397194351E-4</v>
      </c>
      <c r="T56" s="101">
        <f t="shared" si="26"/>
        <v>0.66047390429169095</v>
      </c>
      <c r="U56" s="101">
        <f t="shared" si="27"/>
        <v>1.9769364126582885E-3</v>
      </c>
      <c r="V56" s="101">
        <f t="shared" si="28"/>
        <v>0.66267676503832118</v>
      </c>
      <c r="W56" s="88">
        <v>2018</v>
      </c>
    </row>
    <row r="57" spans="1:23" x14ac:dyDescent="0.2">
      <c r="A57" s="90" t="s">
        <v>17</v>
      </c>
      <c r="B57" s="84" t="s">
        <v>240</v>
      </c>
      <c r="C57" s="85">
        <v>0.97759254129999995</v>
      </c>
      <c r="D57" s="85">
        <v>11050.618110576755</v>
      </c>
      <c r="E57" s="85">
        <v>0.19281559883999999</v>
      </c>
      <c r="F57" s="86">
        <v>0.98412719999999998</v>
      </c>
      <c r="G57" s="86">
        <v>11948.03672040146</v>
      </c>
      <c r="H57" s="91">
        <v>0.19926162</v>
      </c>
      <c r="J57" s="90" t="s">
        <v>17</v>
      </c>
      <c r="K57" s="97">
        <v>30.273</v>
      </c>
      <c r="L57" s="88"/>
      <c r="N57" s="87" t="str">
        <f t="shared" si="15"/>
        <v>Hungary</v>
      </c>
      <c r="O57" s="101">
        <f t="shared" si="21"/>
        <v>3.2292555785683611E-5</v>
      </c>
      <c r="P57" s="101">
        <f t="shared" si="22"/>
        <v>0.36503214450423666</v>
      </c>
      <c r="Q57" s="101">
        <f t="shared" si="23"/>
        <v>6.3692266653453569E-6</v>
      </c>
      <c r="R57" s="101">
        <f t="shared" si="24"/>
        <v>0.36773748794515171</v>
      </c>
      <c r="S57" s="101">
        <f t="shared" si="25"/>
        <v>8.0731389464209027E-4</v>
      </c>
      <c r="T57" s="101">
        <f t="shared" si="26"/>
        <v>0.36503214450423666</v>
      </c>
      <c r="U57" s="101">
        <f t="shared" si="27"/>
        <v>1.8980295462729163E-3</v>
      </c>
      <c r="V57" s="101">
        <f t="shared" si="28"/>
        <v>0.36773748794515171</v>
      </c>
      <c r="W57" s="88">
        <v>2018</v>
      </c>
    </row>
    <row r="58" spans="1:23" x14ac:dyDescent="0.2">
      <c r="A58" s="90" t="s">
        <v>32</v>
      </c>
      <c r="B58" s="84" t="s">
        <v>240</v>
      </c>
      <c r="C58" s="85">
        <v>9.8236600000000001E-5</v>
      </c>
      <c r="D58" s="85">
        <v>2.3741625599999998</v>
      </c>
      <c r="E58" s="85">
        <v>1.964772E-5</v>
      </c>
      <c r="F58" s="86">
        <v>9.85022E-5</v>
      </c>
      <c r="G58" s="86">
        <v>2.3280264336999998</v>
      </c>
      <c r="H58" s="91">
        <v>1.9700639999999998E-5</v>
      </c>
      <c r="J58" s="90" t="s">
        <v>32</v>
      </c>
      <c r="K58" s="97">
        <v>19.629000000000001</v>
      </c>
      <c r="L58" s="88"/>
      <c r="N58" s="87" t="str">
        <f t="shared" si="15"/>
        <v>Iceland</v>
      </c>
      <c r="O58" s="101">
        <f t="shared" si="21"/>
        <v>5.004666564776606E-9</v>
      </c>
      <c r="P58" s="101">
        <f t="shared" si="22"/>
        <v>1.2095178358551123E-4</v>
      </c>
      <c r="Q58" s="101">
        <f t="shared" si="23"/>
        <v>1.0009536909674461E-9</v>
      </c>
      <c r="R58" s="101">
        <f t="shared" si="24"/>
        <v>1.2137518444953894E-4</v>
      </c>
      <c r="S58" s="101">
        <f t="shared" si="25"/>
        <v>1.2511666411941515E-7</v>
      </c>
      <c r="T58" s="101">
        <f t="shared" si="26"/>
        <v>1.2095178358551123E-4</v>
      </c>
      <c r="U58" s="101">
        <f t="shared" si="27"/>
        <v>2.9828419990829893E-7</v>
      </c>
      <c r="V58" s="101">
        <f t="shared" si="28"/>
        <v>1.2137518444953894E-4</v>
      </c>
      <c r="W58" s="88">
        <v>2018</v>
      </c>
    </row>
    <row r="59" spans="1:23" x14ac:dyDescent="0.2">
      <c r="A59" s="90" t="s">
        <v>18</v>
      </c>
      <c r="B59" s="84" t="s">
        <v>240</v>
      </c>
      <c r="C59" s="85">
        <v>0.40449630403289</v>
      </c>
      <c r="D59" s="85">
        <v>9957.6501467866037</v>
      </c>
      <c r="E59" s="85">
        <v>0.47357288774945</v>
      </c>
      <c r="F59" s="86">
        <v>0.35730633150867003</v>
      </c>
      <c r="G59" s="86">
        <v>11230.517255609466</v>
      </c>
      <c r="H59" s="91">
        <v>0.46909209148552</v>
      </c>
      <c r="J59" s="90" t="s">
        <v>18</v>
      </c>
      <c r="K59" s="97">
        <v>29.295680000000001</v>
      </c>
      <c r="L59" s="88"/>
      <c r="N59" s="87" t="str">
        <f t="shared" si="15"/>
        <v>Ireland</v>
      </c>
      <c r="O59" s="101">
        <f t="shared" si="21"/>
        <v>1.3807370371088501E-5</v>
      </c>
      <c r="P59" s="101">
        <f t="shared" si="22"/>
        <v>0.33990165603893147</v>
      </c>
      <c r="Q59" s="101">
        <f t="shared" si="23"/>
        <v>1.6165280606200299E-5</v>
      </c>
      <c r="R59" s="101">
        <f t="shared" si="24"/>
        <v>0.34506409391885634</v>
      </c>
      <c r="S59" s="101">
        <f t="shared" si="25"/>
        <v>3.451842592772125E-4</v>
      </c>
      <c r="T59" s="101">
        <f t="shared" si="26"/>
        <v>0.33990165603893147</v>
      </c>
      <c r="U59" s="101">
        <f t="shared" si="27"/>
        <v>4.8172536206476891E-3</v>
      </c>
      <c r="V59" s="101">
        <f t="shared" si="28"/>
        <v>0.34506409391885634</v>
      </c>
      <c r="W59" s="88">
        <v>2018</v>
      </c>
    </row>
    <row r="60" spans="1:23" x14ac:dyDescent="0.2">
      <c r="A60" s="90" t="s">
        <v>19</v>
      </c>
      <c r="B60" s="84" t="s">
        <v>240</v>
      </c>
      <c r="C60" s="85">
        <v>4.1305283048979797</v>
      </c>
      <c r="D60" s="85">
        <v>69949.653998607566</v>
      </c>
      <c r="E60" s="85">
        <v>0.83825000327242005</v>
      </c>
      <c r="F60" s="86">
        <v>4.3270414192019802</v>
      </c>
      <c r="G60" s="86">
        <v>77810.245855973088</v>
      </c>
      <c r="H60" s="91">
        <v>0.90764673976065002</v>
      </c>
      <c r="J60" s="90" t="s">
        <v>19</v>
      </c>
      <c r="K60" s="97">
        <v>276.37218000000001</v>
      </c>
      <c r="L60" s="88"/>
      <c r="N60" s="87" t="str">
        <f t="shared" si="15"/>
        <v>Italy</v>
      </c>
      <c r="O60" s="101">
        <f t="shared" si="21"/>
        <v>1.4945528543784616E-5</v>
      </c>
      <c r="P60" s="101">
        <f t="shared" si="22"/>
        <v>0.25309947621575934</v>
      </c>
      <c r="Q60" s="101">
        <f t="shared" si="23"/>
        <v>3.0330476941362914E-6</v>
      </c>
      <c r="R60" s="101">
        <f t="shared" si="24"/>
        <v>0.25437696264220655</v>
      </c>
      <c r="S60" s="101">
        <f t="shared" si="25"/>
        <v>3.7363821359461539E-4</v>
      </c>
      <c r="T60" s="101">
        <f t="shared" si="26"/>
        <v>0.25309947621575934</v>
      </c>
      <c r="U60" s="101">
        <f t="shared" si="27"/>
        <v>9.0384821285261483E-4</v>
      </c>
      <c r="V60" s="101">
        <f t="shared" si="28"/>
        <v>0.25437696264220655</v>
      </c>
      <c r="W60" s="88">
        <v>2018</v>
      </c>
    </row>
    <row r="61" spans="1:23" x14ac:dyDescent="0.2">
      <c r="A61" s="90" t="s">
        <v>33</v>
      </c>
      <c r="B61" s="84" t="s">
        <v>240</v>
      </c>
      <c r="C61" s="85">
        <v>3.1199751081974298</v>
      </c>
      <c r="D61" s="85">
        <v>418339.24032790022</v>
      </c>
      <c r="E61" s="85">
        <v>6.2283917575319796</v>
      </c>
      <c r="F61" s="86">
        <v>3.3342225370326202</v>
      </c>
      <c r="G61" s="86">
        <v>456772.3424973464</v>
      </c>
      <c r="H61" s="91">
        <v>6.6841958718050103</v>
      </c>
      <c r="J61" s="90" t="s">
        <v>33</v>
      </c>
      <c r="K61" s="97">
        <v>952.12332000000004</v>
      </c>
      <c r="L61" s="88"/>
      <c r="N61" s="87" t="str">
        <f t="shared" si="15"/>
        <v>Japan</v>
      </c>
      <c r="O61" s="101">
        <f t="shared" si="21"/>
        <v>3.2768603001945481E-6</v>
      </c>
      <c r="P61" s="101">
        <f t="shared" si="22"/>
        <v>0.43937505944912703</v>
      </c>
      <c r="Q61" s="101">
        <f t="shared" si="23"/>
        <v>6.5415809346335297E-6</v>
      </c>
      <c r="R61" s="101">
        <f t="shared" si="24"/>
        <v>0.44140637207515265</v>
      </c>
      <c r="S61" s="101">
        <f t="shared" si="25"/>
        <v>8.1921507504863699E-5</v>
      </c>
      <c r="T61" s="101">
        <f t="shared" si="26"/>
        <v>0.43937505944912703</v>
      </c>
      <c r="U61" s="101">
        <f t="shared" si="27"/>
        <v>1.9493911185207919E-3</v>
      </c>
      <c r="V61" s="101">
        <f t="shared" si="28"/>
        <v>0.44140637207515265</v>
      </c>
      <c r="W61" s="88">
        <v>2018</v>
      </c>
    </row>
    <row r="62" spans="1:23" x14ac:dyDescent="0.2">
      <c r="A62" s="90" t="s">
        <v>244</v>
      </c>
      <c r="B62" s="84" t="s">
        <v>240</v>
      </c>
      <c r="C62" s="85">
        <v>1.2551000000000001</v>
      </c>
      <c r="D62" s="85">
        <v>109111.265</v>
      </c>
      <c r="E62" s="85">
        <v>1.5218</v>
      </c>
      <c r="F62" s="86">
        <v>1.1879999999999999</v>
      </c>
      <c r="G62" s="86">
        <v>102296.86</v>
      </c>
      <c r="H62" s="91">
        <v>1.421</v>
      </c>
      <c r="J62" s="90" t="s">
        <v>244</v>
      </c>
      <c r="K62" s="97">
        <v>101.18478</v>
      </c>
      <c r="L62" s="88"/>
      <c r="N62" s="87" t="str">
        <f t="shared" si="15"/>
        <v>Kazakhstan</v>
      </c>
      <c r="O62" s="101">
        <f t="shared" si="21"/>
        <v>1.2404039421739121E-5</v>
      </c>
      <c r="P62" s="101">
        <f t="shared" si="22"/>
        <v>1.0783367320658304</v>
      </c>
      <c r="Q62" s="101">
        <f t="shared" si="23"/>
        <v>1.5039811323402591E-5</v>
      </c>
      <c r="R62" s="101">
        <f t="shared" si="24"/>
        <v>1.0831286968257479</v>
      </c>
      <c r="S62" s="101">
        <f t="shared" si="25"/>
        <v>3.1010098554347805E-4</v>
      </c>
      <c r="T62" s="101">
        <f t="shared" si="26"/>
        <v>1.0783367320658304</v>
      </c>
      <c r="U62" s="101">
        <f t="shared" si="27"/>
        <v>4.4818637743739721E-3</v>
      </c>
      <c r="V62" s="101">
        <f t="shared" si="28"/>
        <v>1.0831286968257479</v>
      </c>
      <c r="W62" s="88">
        <v>2018</v>
      </c>
    </row>
    <row r="63" spans="1:23" x14ac:dyDescent="0.2">
      <c r="A63" s="90" t="s">
        <v>20</v>
      </c>
      <c r="B63" s="84" t="s">
        <v>240</v>
      </c>
      <c r="C63" s="85">
        <v>0.59990987580983002</v>
      </c>
      <c r="D63" s="85">
        <v>1842.1514593446273</v>
      </c>
      <c r="E63" s="85">
        <v>7.9107787580979999E-2</v>
      </c>
      <c r="F63" s="86">
        <v>0.56956030937366997</v>
      </c>
      <c r="G63" s="86">
        <v>1465.3868875326016</v>
      </c>
      <c r="H63" s="91">
        <v>7.5137630937369998E-2</v>
      </c>
      <c r="J63" s="90" t="s">
        <v>20</v>
      </c>
      <c r="K63" s="97">
        <v>6.5064399999999996</v>
      </c>
      <c r="L63" s="88"/>
      <c r="N63" s="87" t="str">
        <f t="shared" si="15"/>
        <v>Latvia</v>
      </c>
      <c r="O63" s="101">
        <f t="shared" si="21"/>
        <v>9.2202475671769818E-5</v>
      </c>
      <c r="P63" s="101">
        <f t="shared" si="22"/>
        <v>0.28312740290306643</v>
      </c>
      <c r="Q63" s="101">
        <f t="shared" si="23"/>
        <v>1.2158382707130166E-5</v>
      </c>
      <c r="R63" s="101">
        <f t="shared" si="24"/>
        <v>0.28905566284158546</v>
      </c>
      <c r="S63" s="101">
        <f t="shared" si="25"/>
        <v>2.3050618917942454E-3</v>
      </c>
      <c r="T63" s="101">
        <f t="shared" si="26"/>
        <v>0.28312740290306643</v>
      </c>
      <c r="U63" s="101">
        <f t="shared" si="27"/>
        <v>3.6231980467247896E-3</v>
      </c>
      <c r="V63" s="101">
        <f t="shared" si="28"/>
        <v>0.28905566284158546</v>
      </c>
      <c r="W63" s="88">
        <v>2018</v>
      </c>
    </row>
    <row r="64" spans="1:23" x14ac:dyDescent="0.2">
      <c r="A64" s="90" t="s">
        <v>34</v>
      </c>
      <c r="B64" s="84" t="s">
        <v>240</v>
      </c>
      <c r="C64" s="85">
        <v>9.9464288760000002E-4</v>
      </c>
      <c r="D64" s="85">
        <v>2.1497075213786099</v>
      </c>
      <c r="E64" s="85">
        <v>2.3890897079999999E-5</v>
      </c>
      <c r="F64" s="86">
        <v>9.6842715696000001E-4</v>
      </c>
      <c r="G64" s="86">
        <v>2.0901505229714901</v>
      </c>
      <c r="H64" s="91">
        <v>3.130664184E-5</v>
      </c>
      <c r="J64" s="90"/>
      <c r="K64" s="97"/>
      <c r="L64" s="88"/>
      <c r="N64" s="87"/>
      <c r="O64" s="101"/>
      <c r="P64" s="101"/>
      <c r="Q64" s="101"/>
      <c r="R64" s="101"/>
      <c r="S64" s="101"/>
      <c r="T64" s="101"/>
      <c r="U64" s="101"/>
      <c r="V64" s="34"/>
      <c r="W64" s="88"/>
    </row>
    <row r="65" spans="1:23" x14ac:dyDescent="0.2">
      <c r="A65" s="90" t="s">
        <v>21</v>
      </c>
      <c r="B65" s="84" t="s">
        <v>240</v>
      </c>
      <c r="C65" s="85">
        <v>0.90545699999999996</v>
      </c>
      <c r="D65" s="85">
        <v>1019.98448</v>
      </c>
      <c r="E65" s="85">
        <v>0.12102259999999999</v>
      </c>
      <c r="F65" s="86">
        <v>0.93209699999999995</v>
      </c>
      <c r="G65" s="86">
        <v>1076.5976900000001</v>
      </c>
      <c r="H65" s="91">
        <v>0.1244977</v>
      </c>
      <c r="J65" s="90" t="s">
        <v>21</v>
      </c>
      <c r="K65" s="97">
        <v>2.4422799999999998</v>
      </c>
      <c r="L65" s="88"/>
      <c r="N65" s="87" t="str">
        <f t="shared" si="15"/>
        <v>Lithuania</v>
      </c>
      <c r="O65" s="101">
        <f t="shared" ref="O65:Q66" si="29">C65/($K65*1000)</f>
        <v>3.7074250290711962E-4</v>
      </c>
      <c r="P65" s="101">
        <f t="shared" si="29"/>
        <v>0.41763617603223219</v>
      </c>
      <c r="Q65" s="101">
        <f t="shared" si="29"/>
        <v>4.9553122492097552E-5</v>
      </c>
      <c r="R65" s="101">
        <f t="shared" si="24"/>
        <v>0.44167156910755523</v>
      </c>
      <c r="S65" s="101">
        <f t="shared" ref="S65" si="30">O65*25</f>
        <v>9.2685625726779911E-3</v>
      </c>
      <c r="T65" s="101">
        <f t="shared" ref="T65" si="31">P65</f>
        <v>0.41763617603223219</v>
      </c>
      <c r="U65" s="101">
        <f t="shared" ref="U65" si="32">Q65*298</f>
        <v>1.476683050264507E-2</v>
      </c>
      <c r="V65" s="101">
        <f t="shared" si="28"/>
        <v>0.44167156910755523</v>
      </c>
      <c r="W65" s="88">
        <v>2018</v>
      </c>
    </row>
    <row r="66" spans="1:23" x14ac:dyDescent="0.2">
      <c r="A66" s="90" t="s">
        <v>22</v>
      </c>
      <c r="B66" s="84" t="s">
        <v>240</v>
      </c>
      <c r="C66" s="85">
        <v>0.12523864423795</v>
      </c>
      <c r="D66" s="85">
        <v>215.52133656077044</v>
      </c>
      <c r="E66" s="85">
        <v>1.661386520156E-2</v>
      </c>
      <c r="F66" s="86">
        <v>9.9048710265330006E-2</v>
      </c>
      <c r="G66" s="86">
        <v>236.39209604370436</v>
      </c>
      <c r="H66" s="91">
        <v>1.311168161859E-2</v>
      </c>
      <c r="J66" s="90" t="s">
        <v>22</v>
      </c>
      <c r="K66" s="97">
        <v>0.33535999999999999</v>
      </c>
      <c r="L66" s="88"/>
      <c r="N66" s="87" t="str">
        <f t="shared" si="15"/>
        <v>Luxembourg</v>
      </c>
      <c r="O66" s="101">
        <f t="shared" si="29"/>
        <v>3.734453847744215E-4</v>
      </c>
      <c r="P66" s="101">
        <f t="shared" si="29"/>
        <v>0.64265665720649578</v>
      </c>
      <c r="Q66" s="101">
        <f t="shared" si="29"/>
        <v>4.9540390033277672E-5</v>
      </c>
      <c r="R66" s="101">
        <f t="shared" si="24"/>
        <v>0.66675582805577305</v>
      </c>
      <c r="S66" s="101">
        <f t="shared" ref="S66:S67" si="33">O66*25</f>
        <v>9.336134619360538E-3</v>
      </c>
      <c r="T66" s="101">
        <f t="shared" ref="T66:T67" si="34">P66</f>
        <v>0.64265665720649578</v>
      </c>
      <c r="U66" s="101">
        <f t="shared" ref="U66:U67" si="35">Q66*298</f>
        <v>1.4763036229916746E-2</v>
      </c>
      <c r="V66" s="101">
        <f t="shared" si="28"/>
        <v>0.66675582805577305</v>
      </c>
      <c r="W66" s="88">
        <v>2018</v>
      </c>
    </row>
    <row r="67" spans="1:23" x14ac:dyDescent="0.2">
      <c r="A67" s="90" t="s">
        <v>23</v>
      </c>
      <c r="B67" s="84" t="s">
        <v>240</v>
      </c>
      <c r="C67" s="85">
        <v>1.2913469E-2</v>
      </c>
      <c r="D67" s="85">
        <v>697.33295847542399</v>
      </c>
      <c r="E67" s="85">
        <v>1.3585559000000001E-3</v>
      </c>
      <c r="F67" s="86">
        <v>1.6136757000000002E-2</v>
      </c>
      <c r="G67" s="86">
        <v>717.61436659999993</v>
      </c>
      <c r="H67" s="91">
        <v>2.2575404999999999E-3</v>
      </c>
      <c r="J67" s="90" t="s">
        <v>23</v>
      </c>
      <c r="K67" s="97"/>
      <c r="L67" s="88">
        <v>1.5566</v>
      </c>
      <c r="N67" s="87" t="str">
        <f t="shared" si="15"/>
        <v>Malta</v>
      </c>
      <c r="O67" s="101">
        <f>F67/($L$67*1000)</f>
        <v>1.0366669022227934E-5</v>
      </c>
      <c r="P67" s="101">
        <f>G67/($L$67*1000)</f>
        <v>0.46101398342541433</v>
      </c>
      <c r="Q67" s="101">
        <f>H67/($L$67*1000)</f>
        <v>1.4503022613388155E-6</v>
      </c>
      <c r="R67" s="101">
        <f t="shared" si="24"/>
        <v>0.46170534022484899</v>
      </c>
      <c r="S67" s="101">
        <f t="shared" si="33"/>
        <v>2.5916672555569833E-4</v>
      </c>
      <c r="T67" s="101">
        <f t="shared" si="34"/>
        <v>0.46101398342541433</v>
      </c>
      <c r="U67" s="101">
        <f t="shared" si="35"/>
        <v>4.3219007387896701E-4</v>
      </c>
      <c r="V67" s="101">
        <f t="shared" si="28"/>
        <v>0.46170534022484899</v>
      </c>
      <c r="W67" s="88">
        <v>2017</v>
      </c>
    </row>
    <row r="68" spans="1:23" x14ac:dyDescent="0.2">
      <c r="A68" s="90" t="s">
        <v>245</v>
      </c>
      <c r="B68" s="84" t="s">
        <v>240</v>
      </c>
      <c r="C68" s="85">
        <v>6.723885118E-5</v>
      </c>
      <c r="D68" s="85">
        <v>21.519720439060318</v>
      </c>
      <c r="E68" s="85">
        <v>4.0412931007E-3</v>
      </c>
      <c r="F68" s="86">
        <v>6.9746690010000003E-5</v>
      </c>
      <c r="G68" s="86">
        <v>21.143264330907432</v>
      </c>
      <c r="H68" s="91">
        <v>3.8310478909699998E-3</v>
      </c>
      <c r="J68" s="98"/>
      <c r="K68" s="97"/>
      <c r="L68" s="88"/>
      <c r="N68" s="87"/>
      <c r="O68" s="101"/>
      <c r="P68" s="101"/>
      <c r="Q68" s="101"/>
      <c r="R68" s="101"/>
      <c r="S68" s="101"/>
      <c r="T68" s="101"/>
      <c r="U68" s="101"/>
      <c r="V68" s="34"/>
      <c r="W68" s="88"/>
    </row>
    <row r="69" spans="1:23" x14ac:dyDescent="0.2">
      <c r="A69" s="90" t="s">
        <v>24</v>
      </c>
      <c r="B69" s="84" t="s">
        <v>240</v>
      </c>
      <c r="C69" s="85">
        <v>3.3098840703366101</v>
      </c>
      <c r="D69" s="85">
        <v>47658.192385954229</v>
      </c>
      <c r="E69" s="85">
        <v>0.824165005412</v>
      </c>
      <c r="F69" s="86">
        <v>3.3593520366259502</v>
      </c>
      <c r="G69" s="86">
        <v>51386.853201698374</v>
      </c>
      <c r="H69" s="91">
        <v>0.8893084415675</v>
      </c>
      <c r="J69" s="90" t="s">
        <v>24</v>
      </c>
      <c r="K69" s="97">
        <v>108.04028</v>
      </c>
      <c r="L69" s="88"/>
      <c r="N69" s="87" t="str">
        <f t="shared" si="15"/>
        <v>Netherlands</v>
      </c>
      <c r="O69" s="101">
        <f t="shared" ref="O69:O81" si="36">C69/($K69*1000)</f>
        <v>3.063564876300404E-5</v>
      </c>
      <c r="P69" s="101">
        <f t="shared" ref="P69:P81" si="37">D69/($K69*1000)</f>
        <v>0.44111503955704512</v>
      </c>
      <c r="Q69" s="101">
        <f t="shared" ref="Q69:Q81" si="38">E69/($K69*1000)</f>
        <v>7.6283123795310418E-6</v>
      </c>
      <c r="R69" s="101">
        <f>V69</f>
        <v>0.44415416786522049</v>
      </c>
      <c r="S69" s="101">
        <f t="shared" ref="S69:S74" si="39">O69*25</f>
        <v>7.6589121907510104E-4</v>
      </c>
      <c r="T69" s="101">
        <f t="shared" ref="T69:T74" si="40">P69</f>
        <v>0.44111503955704512</v>
      </c>
      <c r="U69" s="101">
        <f t="shared" ref="U69:U74" si="41">Q69*298</f>
        <v>2.2732370891002506E-3</v>
      </c>
      <c r="V69" s="101">
        <f t="shared" si="28"/>
        <v>0.44415416786522049</v>
      </c>
      <c r="W69" s="88">
        <v>2018</v>
      </c>
    </row>
    <row r="70" spans="1:23" x14ac:dyDescent="0.2">
      <c r="A70" s="90" t="s">
        <v>35</v>
      </c>
      <c r="B70" s="84" t="s">
        <v>240</v>
      </c>
      <c r="C70" s="85">
        <v>5.1768882610600003E-2</v>
      </c>
      <c r="D70" s="85">
        <v>3303.9843473472024</v>
      </c>
      <c r="E70" s="85">
        <v>1.8638370650339998E-2</v>
      </c>
      <c r="F70" s="86">
        <v>5.9357513582779999E-2</v>
      </c>
      <c r="G70" s="86">
        <v>3610.6785292326044</v>
      </c>
      <c r="H70" s="91">
        <v>1.352078484434E-2</v>
      </c>
      <c r="J70" s="90" t="s">
        <v>35</v>
      </c>
      <c r="K70" s="97">
        <v>43.268585000000002</v>
      </c>
      <c r="L70" s="88"/>
      <c r="N70" s="87" t="str">
        <f t="shared" si="15"/>
        <v>New Zealand</v>
      </c>
      <c r="O70" s="101">
        <f t="shared" si="36"/>
        <v>1.1964542545266965E-6</v>
      </c>
      <c r="P70" s="101">
        <f t="shared" si="37"/>
        <v>7.6359888989834132E-2</v>
      </c>
      <c r="Q70" s="101">
        <f t="shared" si="38"/>
        <v>4.3075988388203587E-7</v>
      </c>
      <c r="R70" s="101">
        <f t="shared" ref="R70:R84" si="42">V70</f>
        <v>7.651816679159415E-2</v>
      </c>
      <c r="S70" s="101">
        <f t="shared" si="39"/>
        <v>2.9911356363167412E-5</v>
      </c>
      <c r="T70" s="101">
        <f t="shared" si="40"/>
        <v>7.6359888989834132E-2</v>
      </c>
      <c r="U70" s="101">
        <f t="shared" si="41"/>
        <v>1.2836644539684669E-4</v>
      </c>
      <c r="V70" s="101">
        <f t="shared" si="28"/>
        <v>7.651816679159415E-2</v>
      </c>
      <c r="W70" s="88">
        <v>2018</v>
      </c>
    </row>
    <row r="71" spans="1:23" x14ac:dyDescent="0.2">
      <c r="A71" s="90" t="s">
        <v>246</v>
      </c>
      <c r="B71" s="84" t="s">
        <v>240</v>
      </c>
      <c r="C71" s="85">
        <v>1.1527710542</v>
      </c>
      <c r="D71" s="85">
        <v>1729.0658758754</v>
      </c>
      <c r="E71" s="85">
        <v>7.9613832575900004E-2</v>
      </c>
      <c r="F71" s="86">
        <v>1.1150960952</v>
      </c>
      <c r="G71" s="86">
        <v>1781.490530214</v>
      </c>
      <c r="H71" s="91">
        <v>7.6797298219799998E-2</v>
      </c>
      <c r="J71" s="90" t="s">
        <v>246</v>
      </c>
      <c r="K71" s="97">
        <v>143.96039999999999</v>
      </c>
      <c r="L71" s="88"/>
      <c r="N71" s="87" t="str">
        <f t="shared" si="15"/>
        <v>Norway</v>
      </c>
      <c r="O71" s="101">
        <f t="shared" si="36"/>
        <v>8.0075566211263658E-6</v>
      </c>
      <c r="P71" s="101">
        <f t="shared" si="37"/>
        <v>1.201070485963779E-2</v>
      </c>
      <c r="Q71" s="101">
        <f t="shared" si="38"/>
        <v>5.5302591946049056E-7</v>
      </c>
      <c r="R71" s="101">
        <f t="shared" si="42"/>
        <v>1.2375695499165175E-2</v>
      </c>
      <c r="S71" s="101">
        <f t="shared" si="39"/>
        <v>2.0018891552815913E-4</v>
      </c>
      <c r="T71" s="101">
        <f t="shared" si="40"/>
        <v>1.201070485963779E-2</v>
      </c>
      <c r="U71" s="101">
        <f t="shared" si="41"/>
        <v>1.648017239992262E-4</v>
      </c>
      <c r="V71" s="101">
        <f t="shared" si="28"/>
        <v>1.2375695499165175E-2</v>
      </c>
      <c r="W71" s="88">
        <v>2018</v>
      </c>
    </row>
    <row r="72" spans="1:23" x14ac:dyDescent="0.2">
      <c r="A72" s="90" t="s">
        <v>25</v>
      </c>
      <c r="B72" s="84" t="s">
        <v>240</v>
      </c>
      <c r="C72" s="85">
        <v>3.6581171520370099</v>
      </c>
      <c r="D72" s="85">
        <v>155050.25702828899</v>
      </c>
      <c r="E72" s="85">
        <v>2.4082632210957899</v>
      </c>
      <c r="F72" s="86">
        <v>3.548848107</v>
      </c>
      <c r="G72" s="86">
        <v>156836.46222075348</v>
      </c>
      <c r="H72" s="91">
        <v>2.4499162829999999</v>
      </c>
      <c r="J72" s="90" t="s">
        <v>25</v>
      </c>
      <c r="K72" s="97">
        <v>159.93526</v>
      </c>
      <c r="L72" s="88"/>
      <c r="N72" s="87" t="str">
        <f t="shared" si="15"/>
        <v>Poland</v>
      </c>
      <c r="O72" s="101">
        <f t="shared" si="36"/>
        <v>2.2872486980275706E-5</v>
      </c>
      <c r="P72" s="101">
        <f t="shared" si="37"/>
        <v>0.96945637271161456</v>
      </c>
      <c r="Q72" s="101">
        <f t="shared" si="38"/>
        <v>1.5057737869033945E-5</v>
      </c>
      <c r="R72" s="101">
        <f t="shared" si="42"/>
        <v>0.9745153907710935</v>
      </c>
      <c r="S72" s="101">
        <f t="shared" si="39"/>
        <v>5.7181217450689265E-4</v>
      </c>
      <c r="T72" s="101">
        <f t="shared" si="40"/>
        <v>0.96945637271161456</v>
      </c>
      <c r="U72" s="101">
        <f t="shared" si="41"/>
        <v>4.4872058849721157E-3</v>
      </c>
      <c r="V72" s="101">
        <f t="shared" si="28"/>
        <v>0.9745153907710935</v>
      </c>
      <c r="W72" s="88">
        <v>2018</v>
      </c>
    </row>
    <row r="73" spans="1:23" x14ac:dyDescent="0.2">
      <c r="A73" s="90" t="s">
        <v>26</v>
      </c>
      <c r="B73" s="84" t="s">
        <v>240</v>
      </c>
      <c r="C73" s="85">
        <v>0.55941891571372004</v>
      </c>
      <c r="D73" s="85">
        <v>15495.73889254226</v>
      </c>
      <c r="E73" s="85">
        <v>0.49804705446521003</v>
      </c>
      <c r="F73" s="86">
        <v>0.60524382210560002</v>
      </c>
      <c r="G73" s="86">
        <v>18140.572877936545</v>
      </c>
      <c r="H73" s="91">
        <v>0.58980225594017999</v>
      </c>
      <c r="J73" s="90" t="s">
        <v>26</v>
      </c>
      <c r="K73" s="97">
        <v>55.277259999999998</v>
      </c>
      <c r="L73" s="88"/>
      <c r="N73" s="87" t="str">
        <f t="shared" si="15"/>
        <v>Portugal</v>
      </c>
      <c r="O73" s="101">
        <f t="shared" si="36"/>
        <v>1.0120235983363143E-5</v>
      </c>
      <c r="P73" s="101">
        <f t="shared" si="37"/>
        <v>0.28032755047088553</v>
      </c>
      <c r="Q73" s="101">
        <f t="shared" si="38"/>
        <v>9.0099808576837941E-6</v>
      </c>
      <c r="R73" s="101">
        <f t="shared" si="42"/>
        <v>0.28326553066605942</v>
      </c>
      <c r="S73" s="101">
        <f t="shared" si="39"/>
        <v>2.5300589958407856E-4</v>
      </c>
      <c r="T73" s="101">
        <f t="shared" si="40"/>
        <v>0.28032755047088553</v>
      </c>
      <c r="U73" s="101">
        <f t="shared" si="41"/>
        <v>2.6849742955897707E-3</v>
      </c>
      <c r="V73" s="101">
        <f t="shared" si="28"/>
        <v>0.28326553066605942</v>
      </c>
      <c r="W73" s="88">
        <v>2018</v>
      </c>
    </row>
    <row r="74" spans="1:23" x14ac:dyDescent="0.2">
      <c r="A74" s="90" t="s">
        <v>27</v>
      </c>
      <c r="B74" s="84" t="s">
        <v>240</v>
      </c>
      <c r="C74" s="85">
        <v>0.39288462554723003</v>
      </c>
      <c r="D74" s="85">
        <v>20247.787381502094</v>
      </c>
      <c r="E74" s="85">
        <v>0.29511569646300001</v>
      </c>
      <c r="F74" s="86">
        <v>0.45522226660165999</v>
      </c>
      <c r="G74" s="86">
        <v>22451.955121329695</v>
      </c>
      <c r="H74" s="91">
        <v>0.32748417644722</v>
      </c>
      <c r="J74" s="90" t="s">
        <v>27</v>
      </c>
      <c r="K74" s="97">
        <v>61.206879999999998</v>
      </c>
      <c r="L74" s="88"/>
      <c r="N74" s="87" t="str">
        <f t="shared" si="15"/>
        <v>Romania</v>
      </c>
      <c r="O74" s="101">
        <f t="shared" si="36"/>
        <v>6.4189618151951225E-6</v>
      </c>
      <c r="P74" s="101">
        <f t="shared" si="37"/>
        <v>0.33080901005740032</v>
      </c>
      <c r="Q74" s="101">
        <f t="shared" si="38"/>
        <v>4.8216098658026681E-6</v>
      </c>
      <c r="R74" s="101">
        <f t="shared" si="42"/>
        <v>0.3324063238427894</v>
      </c>
      <c r="S74" s="101">
        <f t="shared" si="39"/>
        <v>1.6047404537987807E-4</v>
      </c>
      <c r="T74" s="101">
        <f t="shared" si="40"/>
        <v>0.33080901005740032</v>
      </c>
      <c r="U74" s="101">
        <f t="shared" si="41"/>
        <v>1.4368397400091951E-3</v>
      </c>
      <c r="V74" s="101">
        <f t="shared" si="28"/>
        <v>0.3324063238427894</v>
      </c>
      <c r="W74" s="88">
        <v>2018</v>
      </c>
    </row>
    <row r="75" spans="1:23" x14ac:dyDescent="0.2">
      <c r="A75" s="90" t="s">
        <v>247</v>
      </c>
      <c r="B75" s="84" t="s">
        <v>240</v>
      </c>
      <c r="C75" s="85">
        <v>16.054069356612001</v>
      </c>
      <c r="D75" s="85">
        <v>736491.95170250814</v>
      </c>
      <c r="E75" s="85">
        <v>5.1082266434865096</v>
      </c>
      <c r="F75" s="86">
        <v>17.128700392171741</v>
      </c>
      <c r="G75" s="86">
        <v>714347.92559761601</v>
      </c>
      <c r="H75" s="91">
        <v>5.0878156041476101</v>
      </c>
      <c r="J75" s="98" t="s">
        <v>52</v>
      </c>
      <c r="K75" s="97">
        <v>1039.0497600000001</v>
      </c>
      <c r="L75" s="88"/>
      <c r="N75" s="87" t="str">
        <f t="shared" si="15"/>
        <v>Russia</v>
      </c>
      <c r="O75" s="101">
        <f t="shared" si="36"/>
        <v>1.5450722356754117E-5</v>
      </c>
      <c r="P75" s="101">
        <f t="shared" si="37"/>
        <v>0.70881297513846497</v>
      </c>
      <c r="Q75" s="101">
        <f t="shared" si="38"/>
        <v>4.9162483262461933E-6</v>
      </c>
      <c r="R75" s="101">
        <f t="shared" si="42"/>
        <v>0.71066428519860514</v>
      </c>
      <c r="S75" s="101">
        <f t="shared" ref="S75:S84" si="43">O75*25</f>
        <v>3.8626805891885292E-4</v>
      </c>
      <c r="T75" s="101">
        <f t="shared" ref="T75:T84" si="44">P75</f>
        <v>0.70881297513846497</v>
      </c>
      <c r="U75" s="101">
        <f t="shared" ref="U75:U84" si="45">Q75*298</f>
        <v>1.4650420012213656E-3</v>
      </c>
      <c r="V75" s="101">
        <f t="shared" si="28"/>
        <v>0.71066428519860514</v>
      </c>
      <c r="W75" s="88">
        <v>2018</v>
      </c>
    </row>
    <row r="76" spans="1:23" x14ac:dyDescent="0.2">
      <c r="A76" s="90" t="s">
        <v>28</v>
      </c>
      <c r="B76" s="84" t="s">
        <v>240</v>
      </c>
      <c r="C76" s="85">
        <v>0.53860968583961999</v>
      </c>
      <c r="D76" s="85">
        <v>4712.3721996832728</v>
      </c>
      <c r="E76" s="85">
        <v>0.11499703926458001</v>
      </c>
      <c r="F76" s="86">
        <v>0.53567871374794995</v>
      </c>
      <c r="G76" s="86">
        <v>4876.5641712554607</v>
      </c>
      <c r="H76" s="91">
        <v>0.11588891734697</v>
      </c>
      <c r="J76" s="90" t="s">
        <v>28</v>
      </c>
      <c r="K76" s="97">
        <v>23.585139999999999</v>
      </c>
      <c r="L76" s="88"/>
      <c r="N76" s="87" t="str">
        <f t="shared" si="15"/>
        <v>Slovakia</v>
      </c>
      <c r="O76" s="101">
        <f t="shared" si="36"/>
        <v>2.283682377291888E-5</v>
      </c>
      <c r="P76" s="101">
        <f t="shared" si="37"/>
        <v>0.19980259602797665</v>
      </c>
      <c r="Q76" s="101">
        <f t="shared" si="38"/>
        <v>4.8758260186108718E-6</v>
      </c>
      <c r="R76" s="101">
        <f t="shared" si="42"/>
        <v>0.20182651277584568</v>
      </c>
      <c r="S76" s="101">
        <f t="shared" si="43"/>
        <v>5.7092059432297196E-4</v>
      </c>
      <c r="T76" s="101">
        <f t="shared" si="44"/>
        <v>0.19980259602797665</v>
      </c>
      <c r="U76" s="101">
        <f t="shared" si="45"/>
        <v>1.4529961535460398E-3</v>
      </c>
      <c r="V76" s="101">
        <f t="shared" si="28"/>
        <v>0.20182651277584568</v>
      </c>
      <c r="W76" s="88">
        <v>2018</v>
      </c>
    </row>
    <row r="77" spans="1:23" x14ac:dyDescent="0.2">
      <c r="A77" s="90" t="s">
        <v>29</v>
      </c>
      <c r="B77" s="84" t="s">
        <v>240</v>
      </c>
      <c r="C77" s="85">
        <v>0.11799424075494</v>
      </c>
      <c r="D77" s="85">
        <v>4774.0687007321803</v>
      </c>
      <c r="E77" s="85">
        <v>7.6517018424639996E-2</v>
      </c>
      <c r="F77" s="86">
        <v>0.11807527025257999</v>
      </c>
      <c r="G77" s="86">
        <v>4889.074998958301</v>
      </c>
      <c r="H77" s="91">
        <v>7.8071907216770001E-2</v>
      </c>
      <c r="J77" s="90" t="s">
        <v>29</v>
      </c>
      <c r="K77" s="97">
        <v>15.297879999999999</v>
      </c>
      <c r="L77" s="88"/>
      <c r="N77" s="87" t="str">
        <f t="shared" si="15"/>
        <v>Slovenia</v>
      </c>
      <c r="O77" s="101">
        <f t="shared" si="36"/>
        <v>7.7131106241479211E-6</v>
      </c>
      <c r="P77" s="101">
        <f t="shared" si="37"/>
        <v>0.31207387564369576</v>
      </c>
      <c r="Q77" s="101">
        <f t="shared" si="38"/>
        <v>5.0018053759501319E-6</v>
      </c>
      <c r="R77" s="101">
        <f t="shared" si="42"/>
        <v>0.3137572414113326</v>
      </c>
      <c r="S77" s="101">
        <f t="shared" si="43"/>
        <v>1.9282776560369802E-4</v>
      </c>
      <c r="T77" s="101">
        <f t="shared" si="44"/>
        <v>0.31207387564369576</v>
      </c>
      <c r="U77" s="101">
        <f t="shared" si="45"/>
        <v>1.4905380020331393E-3</v>
      </c>
      <c r="V77" s="101">
        <f t="shared" si="28"/>
        <v>0.3137572414113326</v>
      </c>
      <c r="W77" s="88">
        <v>2018</v>
      </c>
    </row>
    <row r="78" spans="1:23" x14ac:dyDescent="0.2">
      <c r="A78" s="90" t="s">
        <v>30</v>
      </c>
      <c r="B78" s="84" t="s">
        <v>240</v>
      </c>
      <c r="C78" s="85">
        <v>2.7785721298278001</v>
      </c>
      <c r="D78" s="85">
        <v>58986.60450114245</v>
      </c>
      <c r="E78" s="85">
        <v>1.6751927283703401</v>
      </c>
      <c r="F78" s="86">
        <v>2.86832141211729</v>
      </c>
      <c r="G78" s="86">
        <v>68018.889697742881</v>
      </c>
      <c r="H78" s="91">
        <v>1.91607330950557</v>
      </c>
      <c r="J78" s="90" t="s">
        <v>30</v>
      </c>
      <c r="K78" s="97">
        <v>259.08042</v>
      </c>
      <c r="L78" s="88"/>
      <c r="N78" s="87" t="str">
        <f t="shared" si="15"/>
        <v>Spain</v>
      </c>
      <c r="O78" s="101">
        <f t="shared" si="36"/>
        <v>1.0724747666488267E-5</v>
      </c>
      <c r="P78" s="101">
        <f t="shared" si="37"/>
        <v>0.22767681363625414</v>
      </c>
      <c r="Q78" s="101">
        <f t="shared" si="38"/>
        <v>6.4659179121692795E-6</v>
      </c>
      <c r="R78" s="101">
        <f t="shared" si="42"/>
        <v>0.22987177586574278</v>
      </c>
      <c r="S78" s="101">
        <f t="shared" si="43"/>
        <v>2.681186916622067E-4</v>
      </c>
      <c r="T78" s="101">
        <f t="shared" si="44"/>
        <v>0.22767681363625414</v>
      </c>
      <c r="U78" s="101">
        <f t="shared" si="45"/>
        <v>1.9268435378264452E-3</v>
      </c>
      <c r="V78" s="101">
        <f t="shared" si="28"/>
        <v>0.22987177586574278</v>
      </c>
      <c r="W78" s="88">
        <v>2018</v>
      </c>
    </row>
    <row r="79" spans="1:23" x14ac:dyDescent="0.2">
      <c r="A79" s="90" t="s">
        <v>31</v>
      </c>
      <c r="B79" s="84" t="s">
        <v>240</v>
      </c>
      <c r="C79" s="85">
        <v>1.88388958203741</v>
      </c>
      <c r="D79" s="85">
        <v>6708.4098918357886</v>
      </c>
      <c r="E79" s="85">
        <v>0.83325234665242998</v>
      </c>
      <c r="F79" s="86">
        <v>1.8242503738592499</v>
      </c>
      <c r="G79" s="86">
        <v>6597.0946816532405</v>
      </c>
      <c r="H79" s="91">
        <v>0.82234620773794997</v>
      </c>
      <c r="J79" s="90" t="s">
        <v>31</v>
      </c>
      <c r="K79" s="97">
        <v>156.48532</v>
      </c>
      <c r="L79" s="88"/>
      <c r="N79" s="87" t="str">
        <f t="shared" si="15"/>
        <v>Sweden</v>
      </c>
      <c r="O79" s="101">
        <f t="shared" si="36"/>
        <v>1.2038762371048031E-5</v>
      </c>
      <c r="P79" s="101">
        <f t="shared" si="37"/>
        <v>4.2869260144247322E-2</v>
      </c>
      <c r="Q79" s="101">
        <f t="shared" si="38"/>
        <v>5.3247956207804664E-6</v>
      </c>
      <c r="R79" s="101">
        <f t="shared" si="42"/>
        <v>4.4757018298516103E-2</v>
      </c>
      <c r="S79" s="101">
        <f t="shared" si="43"/>
        <v>3.0096905927620075E-4</v>
      </c>
      <c r="T79" s="101">
        <f t="shared" si="44"/>
        <v>4.2869260144247322E-2</v>
      </c>
      <c r="U79" s="101">
        <f t="shared" si="45"/>
        <v>1.586789094992579E-3</v>
      </c>
      <c r="V79" s="101">
        <f t="shared" si="28"/>
        <v>4.4757018298516103E-2</v>
      </c>
      <c r="W79" s="88">
        <v>2018</v>
      </c>
    </row>
    <row r="80" spans="1:23" x14ac:dyDescent="0.2">
      <c r="A80" s="90" t="s">
        <v>248</v>
      </c>
      <c r="B80" s="84" t="s">
        <v>240</v>
      </c>
      <c r="C80" s="85">
        <v>1.375310381371E-2</v>
      </c>
      <c r="D80" s="85">
        <v>2968.0117659090179</v>
      </c>
      <c r="E80" s="85">
        <v>8.9054249152069997E-2</v>
      </c>
      <c r="F80" s="86">
        <v>1.4387538012E-2</v>
      </c>
      <c r="G80" s="86">
        <v>2919.9263384007281</v>
      </c>
      <c r="H80" s="91">
        <v>9.0834218411250001E-2</v>
      </c>
      <c r="J80" s="90" t="s">
        <v>248</v>
      </c>
      <c r="K80" s="97">
        <v>63.644039999999997</v>
      </c>
      <c r="L80" s="88"/>
      <c r="N80" s="87" t="str">
        <f t="shared" si="15"/>
        <v>Switzerland</v>
      </c>
      <c r="O80" s="101">
        <f t="shared" si="36"/>
        <v>2.1609413565999268E-7</v>
      </c>
      <c r="P80" s="101">
        <f t="shared" si="37"/>
        <v>4.6634559432572449E-2</v>
      </c>
      <c r="Q80" s="101">
        <f t="shared" si="38"/>
        <v>1.3992551251000094E-6</v>
      </c>
      <c r="R80" s="101">
        <f t="shared" si="42"/>
        <v>4.7056939813243749E-2</v>
      </c>
      <c r="S80" s="101">
        <f t="shared" si="43"/>
        <v>5.4023533914998174E-6</v>
      </c>
      <c r="T80" s="101">
        <f t="shared" si="44"/>
        <v>4.6634559432572449E-2</v>
      </c>
      <c r="U80" s="101">
        <f t="shared" si="45"/>
        <v>4.169780272798028E-4</v>
      </c>
      <c r="V80" s="101">
        <f t="shared" si="28"/>
        <v>4.7056939813243749E-2</v>
      </c>
      <c r="W80" s="88">
        <v>2018</v>
      </c>
    </row>
    <row r="81" spans="1:23" x14ac:dyDescent="0.2">
      <c r="A81" s="90" t="s">
        <v>57</v>
      </c>
      <c r="B81" s="84" t="s">
        <v>240</v>
      </c>
      <c r="C81" s="85">
        <v>1.8512819511360601</v>
      </c>
      <c r="D81" s="85">
        <v>148992.10012055468</v>
      </c>
      <c r="E81" s="85">
        <v>3.33447291789436</v>
      </c>
      <c r="F81" s="86">
        <v>1.9400264355477601</v>
      </c>
      <c r="G81" s="86">
        <v>144814.08516306756</v>
      </c>
      <c r="H81" s="91">
        <v>4.5558024022635903</v>
      </c>
      <c r="J81" s="90" t="s">
        <v>57</v>
      </c>
      <c r="K81" s="97">
        <v>289.21134000000001</v>
      </c>
      <c r="L81" s="88"/>
      <c r="N81" s="87" t="str">
        <f t="shared" si="15"/>
        <v>Turkey</v>
      </c>
      <c r="O81" s="101">
        <f t="shared" si="36"/>
        <v>6.4011388735174078E-6</v>
      </c>
      <c r="P81" s="101">
        <f t="shared" si="37"/>
        <v>0.51516686766346942</v>
      </c>
      <c r="Q81" s="101">
        <f t="shared" si="38"/>
        <v>1.1529537250836568E-5</v>
      </c>
      <c r="R81" s="101">
        <f t="shared" si="42"/>
        <v>0.5187626982360567</v>
      </c>
      <c r="S81" s="101">
        <f t="shared" si="43"/>
        <v>1.600284718379352E-4</v>
      </c>
      <c r="T81" s="101">
        <f t="shared" si="44"/>
        <v>0.51516686766346942</v>
      </c>
      <c r="U81" s="101">
        <f t="shared" si="45"/>
        <v>3.4358021007492973E-3</v>
      </c>
      <c r="V81" s="101">
        <f t="shared" si="28"/>
        <v>0.5187626982360567</v>
      </c>
      <c r="W81" s="88">
        <v>2018</v>
      </c>
    </row>
    <row r="82" spans="1:23" x14ac:dyDescent="0.2">
      <c r="A82" s="90" t="s">
        <v>36</v>
      </c>
      <c r="B82" s="84" t="s">
        <v>240</v>
      </c>
      <c r="C82" s="85">
        <v>2.62635706598134</v>
      </c>
      <c r="D82" s="85">
        <v>93120.265724166835</v>
      </c>
      <c r="E82" s="85">
        <v>1.2912185013786599</v>
      </c>
      <c r="F82" s="86">
        <v>2.3975492035164501</v>
      </c>
      <c r="G82" s="86">
        <v>86413.327022524129</v>
      </c>
      <c r="H82" s="91">
        <v>1.18215278185655</v>
      </c>
      <c r="J82" s="90" t="s">
        <v>36</v>
      </c>
      <c r="K82" s="34"/>
      <c r="L82" s="88">
        <v>145.68116000000001</v>
      </c>
      <c r="N82" s="87" t="str">
        <f t="shared" si="15"/>
        <v>Ukraine</v>
      </c>
      <c r="O82" s="101">
        <f>F82/($L$82*1000)</f>
        <v>1.6457510384434404E-5</v>
      </c>
      <c r="P82" s="101">
        <f>G82/($L$82*1000)</f>
        <v>0.59316748317026113</v>
      </c>
      <c r="Q82" s="101">
        <f>H82/($L$82*1000)</f>
        <v>8.1146579410580609E-6</v>
      </c>
      <c r="R82" s="101">
        <f t="shared" si="42"/>
        <v>0.59599708899630732</v>
      </c>
      <c r="S82" s="101">
        <f t="shared" si="43"/>
        <v>4.1143775961086012E-4</v>
      </c>
      <c r="T82" s="101">
        <f t="shared" si="44"/>
        <v>0.59316748317026113</v>
      </c>
      <c r="U82" s="101">
        <f t="shared" si="45"/>
        <v>2.4181680664353022E-3</v>
      </c>
      <c r="V82" s="101">
        <f t="shared" si="28"/>
        <v>0.59599708899630732</v>
      </c>
      <c r="W82" s="88">
        <v>2017</v>
      </c>
    </row>
    <row r="83" spans="1:23" x14ac:dyDescent="0.2">
      <c r="A83" s="90" t="s">
        <v>249</v>
      </c>
      <c r="B83" s="84" t="s">
        <v>240</v>
      </c>
      <c r="C83" s="85">
        <v>10.713746642839441</v>
      </c>
      <c r="D83" s="85">
        <v>67604.832902455033</v>
      </c>
      <c r="E83" s="85">
        <v>1.3954829026323901</v>
      </c>
      <c r="F83" s="86">
        <v>9.7860537612615506</v>
      </c>
      <c r="G83" s="86">
        <v>73811.128334864959</v>
      </c>
      <c r="H83" s="91">
        <v>1.3487595139670701</v>
      </c>
      <c r="J83" s="90" t="s">
        <v>249</v>
      </c>
      <c r="K83" s="97">
        <v>315.41843599999999</v>
      </c>
      <c r="L83" s="88"/>
      <c r="N83" s="87" t="str">
        <f t="shared" si="15"/>
        <v>United Kingdom of Great Britain and Northern Ireland</v>
      </c>
      <c r="O83" s="101">
        <f t="shared" ref="O83:Q84" si="46">C83/($K83*1000)</f>
        <v>3.3966773720352354E-5</v>
      </c>
      <c r="P83" s="101">
        <f t="shared" si="46"/>
        <v>0.21433380293108498</v>
      </c>
      <c r="Q83" s="101">
        <f t="shared" si="46"/>
        <v>4.424227449508976E-6</v>
      </c>
      <c r="R83" s="101">
        <f t="shared" si="42"/>
        <v>0.21650139205404745</v>
      </c>
      <c r="S83" s="101">
        <f t="shared" si="43"/>
        <v>8.4916934300880884E-4</v>
      </c>
      <c r="T83" s="101">
        <f t="shared" si="44"/>
        <v>0.21433380293108498</v>
      </c>
      <c r="U83" s="101">
        <f t="shared" si="45"/>
        <v>1.3184197799536749E-3</v>
      </c>
      <c r="V83" s="101">
        <f t="shared" si="28"/>
        <v>0.21650139205404745</v>
      </c>
      <c r="W83" s="88">
        <v>2018</v>
      </c>
    </row>
    <row r="84" spans="1:23" ht="17" thickBot="1" x14ac:dyDescent="0.25">
      <c r="A84" s="92" t="s">
        <v>250</v>
      </c>
      <c r="B84" s="93" t="s">
        <v>240</v>
      </c>
      <c r="C84" s="94">
        <v>48.57725557897961</v>
      </c>
      <c r="D84" s="94">
        <v>1752848.7495219188</v>
      </c>
      <c r="E84" s="94">
        <v>81.868959878850248</v>
      </c>
      <c r="F84" s="95">
        <v>44.085927262574721</v>
      </c>
      <c r="G84" s="95">
        <v>1732024.8265549226</v>
      </c>
      <c r="H84" s="96">
        <v>83.06052098898455</v>
      </c>
      <c r="J84" s="92" t="s">
        <v>250</v>
      </c>
      <c r="K84" s="99">
        <v>4178.2773442999996</v>
      </c>
      <c r="L84" s="100"/>
      <c r="N84" s="102" t="str">
        <f t="shared" si="15"/>
        <v>United States of America</v>
      </c>
      <c r="O84" s="103">
        <f t="shared" si="46"/>
        <v>1.1626144359528607E-5</v>
      </c>
      <c r="P84" s="103">
        <f t="shared" si="46"/>
        <v>0.41951469591006274</v>
      </c>
      <c r="Q84" s="103">
        <f t="shared" si="46"/>
        <v>1.9593950600367824E-5</v>
      </c>
      <c r="R84" s="103">
        <f t="shared" si="42"/>
        <v>0.42564434679796059</v>
      </c>
      <c r="S84" s="103">
        <f t="shared" si="43"/>
        <v>2.906536089882152E-4</v>
      </c>
      <c r="T84" s="103">
        <f t="shared" si="44"/>
        <v>0.41951469591006274</v>
      </c>
      <c r="U84" s="103">
        <f t="shared" si="45"/>
        <v>5.8389972789096118E-3</v>
      </c>
      <c r="V84" s="103">
        <f t="shared" si="28"/>
        <v>0.42564434679796059</v>
      </c>
      <c r="W84" s="100">
        <v>2018</v>
      </c>
    </row>
    <row r="86" spans="1:23" x14ac:dyDescent="0.2">
      <c r="A86" s="33" t="s">
        <v>251</v>
      </c>
      <c r="J86" s="33" t="s">
        <v>263</v>
      </c>
    </row>
    <row r="87" spans="1:23" x14ac:dyDescent="0.2">
      <c r="A87" s="33" t="s">
        <v>258</v>
      </c>
    </row>
    <row r="90" spans="1:23" s="69" customFormat="1" x14ac:dyDescent="0.2">
      <c r="A90" s="69" t="s">
        <v>173</v>
      </c>
    </row>
    <row r="91" spans="1:23" x14ac:dyDescent="0.2">
      <c r="A91" s="41" t="s">
        <v>58</v>
      </c>
      <c r="B91" s="40"/>
      <c r="C91" s="40"/>
      <c r="D91" s="40"/>
      <c r="E91" s="40"/>
      <c r="F91" s="40"/>
      <c r="G91" s="40"/>
      <c r="H91" s="40"/>
      <c r="J91" s="41" t="s">
        <v>63</v>
      </c>
      <c r="K91" s="40"/>
      <c r="L91" s="40"/>
      <c r="M91" s="40"/>
      <c r="N91" s="40"/>
      <c r="O91" s="40"/>
      <c r="P91" s="40"/>
      <c r="Q91" s="40"/>
    </row>
    <row r="92" spans="1:23" x14ac:dyDescent="0.2">
      <c r="A92" s="42" t="s">
        <v>59</v>
      </c>
      <c r="B92" s="42" t="s">
        <v>60</v>
      </c>
      <c r="C92" s="43" t="s">
        <v>0</v>
      </c>
      <c r="D92" s="43" t="s">
        <v>1</v>
      </c>
      <c r="E92" s="43" t="s">
        <v>2</v>
      </c>
      <c r="F92" s="43" t="s">
        <v>61</v>
      </c>
      <c r="G92" s="43" t="s">
        <v>48</v>
      </c>
      <c r="H92" s="44" t="s">
        <v>81</v>
      </c>
      <c r="J92" s="42" t="s">
        <v>59</v>
      </c>
      <c r="K92" s="45" t="s">
        <v>60</v>
      </c>
      <c r="L92" s="46">
        <v>2000</v>
      </c>
      <c r="M92" s="34">
        <v>2005</v>
      </c>
      <c r="N92" s="46">
        <v>2006</v>
      </c>
      <c r="O92" s="46">
        <v>2010</v>
      </c>
      <c r="P92" s="46">
        <v>2012</v>
      </c>
      <c r="Q92" s="45">
        <v>2013</v>
      </c>
      <c r="R92" s="45">
        <v>2014</v>
      </c>
      <c r="S92" s="45">
        <v>2015</v>
      </c>
      <c r="T92" s="45">
        <v>2016</v>
      </c>
      <c r="U92" s="45">
        <v>2017</v>
      </c>
      <c r="V92" s="45">
        <v>2018</v>
      </c>
      <c r="W92" s="34" t="s">
        <v>264</v>
      </c>
    </row>
    <row r="93" spans="1:23" x14ac:dyDescent="0.2">
      <c r="A93" s="44" t="s">
        <v>53</v>
      </c>
      <c r="B93" s="44" t="s">
        <v>62</v>
      </c>
      <c r="C93" s="44">
        <f>D116/B116/1000</f>
        <v>0.17215372413295837</v>
      </c>
      <c r="D93" s="44">
        <f>D117/B116/1000/E117*25</f>
        <v>6.866976367300831E-5</v>
      </c>
      <c r="E93" s="44">
        <f>D118/B116/1000/E118*298</f>
        <v>4.297353810656861E-4</v>
      </c>
      <c r="F93" s="44">
        <f>SUM(C93:E93)</f>
        <v>0.17265212927769708</v>
      </c>
      <c r="G93" s="44">
        <v>2014</v>
      </c>
      <c r="H93" s="44"/>
      <c r="J93" s="44" t="s">
        <v>53</v>
      </c>
      <c r="K93" s="44" t="s">
        <v>64</v>
      </c>
      <c r="L93" s="34"/>
      <c r="M93" s="34"/>
      <c r="N93" s="34"/>
      <c r="O93" s="34"/>
      <c r="P93" s="34"/>
      <c r="Q93" s="44">
        <v>72.141999999999996</v>
      </c>
      <c r="R93" s="44">
        <v>69.344999999999999</v>
      </c>
      <c r="S93" s="44">
        <v>75.945999999999998</v>
      </c>
      <c r="T93" s="44">
        <v>74.772000000000006</v>
      </c>
      <c r="U93" s="44">
        <v>73.355000000000004</v>
      </c>
      <c r="V93" s="44" t="s">
        <v>65</v>
      </c>
      <c r="W93" s="34"/>
    </row>
    <row r="94" spans="1:23" x14ac:dyDescent="0.2">
      <c r="A94" s="44" t="s">
        <v>50</v>
      </c>
      <c r="B94" s="44" t="s">
        <v>62</v>
      </c>
      <c r="C94" s="44">
        <f>D122/B122/1000</f>
        <v>0.88826419372272969</v>
      </c>
      <c r="D94" s="44">
        <f>D123/B122/1000/E123*25</f>
        <v>2.4337274752507878E-4</v>
      </c>
      <c r="E94" s="44">
        <f>D124/B122/1000/E124*298</f>
        <v>3.9883883022897148E-3</v>
      </c>
      <c r="F94" s="44">
        <f t="shared" ref="F94:F109" si="47">SUM(C94:E94)</f>
        <v>0.89249595477254451</v>
      </c>
      <c r="G94" s="44">
        <v>2014</v>
      </c>
      <c r="H94" s="44"/>
      <c r="J94" s="44" t="s">
        <v>50</v>
      </c>
      <c r="K94" s="44" t="s">
        <v>64</v>
      </c>
      <c r="L94" s="34"/>
      <c r="M94" s="34"/>
      <c r="N94" s="34"/>
      <c r="O94" s="34"/>
      <c r="P94" s="34"/>
      <c r="Q94" s="44">
        <v>1117.02</v>
      </c>
      <c r="R94" s="44">
        <v>1213.7760000000001</v>
      </c>
      <c r="S94" s="44">
        <v>1287.8009999999999</v>
      </c>
      <c r="T94" s="44">
        <v>1367.4829999999999</v>
      </c>
      <c r="U94" s="44">
        <v>1438.1679999999999</v>
      </c>
      <c r="V94" s="44">
        <v>1486.539</v>
      </c>
      <c r="W94" s="34"/>
    </row>
    <row r="95" spans="1:23" x14ac:dyDescent="0.2">
      <c r="A95" s="44" t="s">
        <v>54</v>
      </c>
      <c r="B95" s="44" t="s">
        <v>62</v>
      </c>
      <c r="C95" s="44">
        <f>D128/B128/1000</f>
        <v>0.4364123348818349</v>
      </c>
      <c r="D95" s="44">
        <f>D129/B128/1000/E129*25</f>
        <v>2.822191295466533E-4</v>
      </c>
      <c r="E95" s="44">
        <f>D130/B128/1000/E130*298</f>
        <v>6.9374272501337032E-4</v>
      </c>
      <c r="F95" s="44">
        <f t="shared" si="47"/>
        <v>0.43738829673639495</v>
      </c>
      <c r="G95" s="44">
        <v>2014</v>
      </c>
      <c r="H95" s="44"/>
      <c r="J95" s="44" t="s">
        <v>54</v>
      </c>
      <c r="K95" s="44" t="s">
        <v>64</v>
      </c>
      <c r="L95" s="47"/>
      <c r="M95" s="47"/>
      <c r="N95" s="47"/>
      <c r="O95" s="47"/>
      <c r="P95" s="47"/>
      <c r="Q95" s="48">
        <v>281.548</v>
      </c>
      <c r="R95" s="48">
        <v>286.08300000000003</v>
      </c>
      <c r="S95" s="48">
        <v>294.39299999999997</v>
      </c>
      <c r="T95" s="48">
        <v>302.89999999999998</v>
      </c>
      <c r="U95" s="48">
        <v>305.10300000000001</v>
      </c>
      <c r="V95" s="48">
        <v>323.22199999999998</v>
      </c>
      <c r="W95" s="34"/>
    </row>
    <row r="96" spans="1:23" x14ac:dyDescent="0.2">
      <c r="A96" s="44" t="s">
        <v>55</v>
      </c>
      <c r="B96" s="44" t="s">
        <v>62</v>
      </c>
      <c r="C96" s="44">
        <f>D134/B134/1000</f>
        <v>1.8598499506416581</v>
      </c>
      <c r="D96" s="44">
        <f>D135/B134/1000/E135*25</f>
        <v>5.9700089315094262E-4</v>
      </c>
      <c r="E96" s="44">
        <f>D136/B134/1000/E136*298</f>
        <v>9.871018692481609E-3</v>
      </c>
      <c r="F96" s="44">
        <f t="shared" si="47"/>
        <v>1.8703179702272905</v>
      </c>
      <c r="G96" s="44">
        <v>2014</v>
      </c>
      <c r="H96" s="44"/>
      <c r="J96" s="44" t="s">
        <v>55</v>
      </c>
      <c r="K96" s="44" t="s">
        <v>64</v>
      </c>
      <c r="L96" s="47"/>
      <c r="M96" s="47"/>
      <c r="N96" s="47"/>
      <c r="O96" s="47"/>
      <c r="P96" s="47"/>
      <c r="Q96" s="48">
        <v>4.7249999999999996</v>
      </c>
      <c r="R96" s="48">
        <v>5.0650000000000004</v>
      </c>
      <c r="S96" s="48">
        <v>5.1950000000000003</v>
      </c>
      <c r="T96" s="48">
        <v>5.3390000000000004</v>
      </c>
      <c r="U96" s="48">
        <v>5.69</v>
      </c>
      <c r="V96" s="48" t="s">
        <v>65</v>
      </c>
      <c r="W96" s="34"/>
    </row>
    <row r="97" spans="1:26" x14ac:dyDescent="0.2">
      <c r="A97" s="44" t="s">
        <v>56</v>
      </c>
      <c r="B97" s="44" t="s">
        <v>62</v>
      </c>
      <c r="C97" s="44">
        <f>D140/B140/1000</f>
        <v>0.97135485549508915</v>
      </c>
      <c r="D97" s="44">
        <f>D141/B140/1000/E141*25</f>
        <v>2.684333712237361E-4</v>
      </c>
      <c r="E97" s="44">
        <f>D142/B140/1000/E142*298</f>
        <v>4.4559952944895585E-3</v>
      </c>
      <c r="F97" s="44">
        <f t="shared" si="47"/>
        <v>0.97607928416080247</v>
      </c>
      <c r="G97" s="44">
        <v>2015</v>
      </c>
      <c r="H97" s="44"/>
      <c r="J97" s="44" t="s">
        <v>56</v>
      </c>
      <c r="K97" s="44" t="s">
        <v>64</v>
      </c>
      <c r="L97" s="47"/>
      <c r="M97" s="47"/>
      <c r="N97" s="47"/>
      <c r="O97" s="47"/>
      <c r="P97" s="47"/>
      <c r="Q97" s="48">
        <v>237.45500000000001</v>
      </c>
      <c r="R97" s="48">
        <v>235.49199999999999</v>
      </c>
      <c r="S97" s="48">
        <v>230.61500000000001</v>
      </c>
      <c r="T97" s="48">
        <v>234.51499999999999</v>
      </c>
      <c r="U97" s="48">
        <v>236.37299999999999</v>
      </c>
      <c r="V97" s="48" t="s">
        <v>65</v>
      </c>
      <c r="W97" s="34"/>
    </row>
    <row r="98" spans="1:26" ht="16" customHeight="1" x14ac:dyDescent="0.2">
      <c r="A98" s="34" t="s">
        <v>34</v>
      </c>
      <c r="B98" s="44" t="s">
        <v>62</v>
      </c>
      <c r="C98" s="44">
        <f>D146/U98/1000</f>
        <v>2.3196986600978693E-2</v>
      </c>
      <c r="D98" s="44"/>
      <c r="E98" s="44"/>
      <c r="F98" s="44">
        <f>SUM(C98:E98)</f>
        <v>2.3196986600978693E-2</v>
      </c>
      <c r="G98" s="44">
        <v>2017</v>
      </c>
      <c r="H98" s="44"/>
      <c r="J98" s="44" t="str">
        <f t="shared" ref="J98:J111" si="48">A98</f>
        <v>Liechtenstein</v>
      </c>
      <c r="K98" s="44" t="s">
        <v>64</v>
      </c>
      <c r="L98" s="47"/>
      <c r="M98" s="47"/>
      <c r="N98" s="47"/>
      <c r="O98" s="47"/>
      <c r="P98" s="47"/>
      <c r="Q98" s="48"/>
      <c r="R98" s="48"/>
      <c r="S98" s="48"/>
      <c r="T98" s="48"/>
      <c r="U98" s="48">
        <v>9.0528999999999998E-2</v>
      </c>
      <c r="V98" s="48"/>
      <c r="W98" s="49" t="s">
        <v>79</v>
      </c>
      <c r="X98" s="50"/>
      <c r="Y98" s="50"/>
      <c r="Z98" s="50"/>
    </row>
    <row r="99" spans="1:26" x14ac:dyDescent="0.2">
      <c r="A99" s="34" t="s">
        <v>37</v>
      </c>
      <c r="B99" s="44" t="s">
        <v>62</v>
      </c>
      <c r="C99" s="44">
        <f>K128/N99/1000</f>
        <v>0.44813740465683766</v>
      </c>
      <c r="D99" s="44">
        <f>K129/N99/1000</f>
        <v>8.1717350446395953E-3</v>
      </c>
      <c r="E99" s="44">
        <f>K130/N99/1000</f>
        <v>0.11306427396729839</v>
      </c>
      <c r="F99" s="44">
        <f t="shared" si="47"/>
        <v>0.56937341366877559</v>
      </c>
      <c r="G99" s="44">
        <v>2006</v>
      </c>
      <c r="H99" s="44"/>
      <c r="J99" s="44" t="str">
        <f t="shared" si="48"/>
        <v>Egypt</v>
      </c>
      <c r="K99" s="44" t="s">
        <v>64</v>
      </c>
      <c r="L99" s="47"/>
      <c r="M99" s="47"/>
      <c r="N99" s="47">
        <v>109.4992</v>
      </c>
      <c r="O99" s="47"/>
      <c r="P99" s="47"/>
      <c r="Q99" s="47"/>
      <c r="R99" s="47"/>
      <c r="S99" s="47"/>
      <c r="T99" s="47"/>
      <c r="U99" s="47"/>
      <c r="V99" s="47"/>
      <c r="W99" s="34"/>
      <c r="X99" s="51"/>
      <c r="Y99" s="51"/>
      <c r="Z99" s="51"/>
    </row>
    <row r="100" spans="1:26" x14ac:dyDescent="0.2">
      <c r="A100" s="34" t="s">
        <v>38</v>
      </c>
      <c r="B100" s="44" t="s">
        <v>62</v>
      </c>
      <c r="C100" s="44">
        <f>K140/H140/1000</f>
        <v>0.30761101194065854</v>
      </c>
      <c r="D100" s="44">
        <f>K141/H140/1000</f>
        <v>3.6183813773971768E-5</v>
      </c>
      <c r="E100" s="44">
        <f>K142/H140/1000</f>
        <v>6.0383548426004086E-4</v>
      </c>
      <c r="F100" s="44">
        <f t="shared" si="47"/>
        <v>0.30825103123869252</v>
      </c>
      <c r="G100" s="44">
        <v>2005</v>
      </c>
      <c r="H100" s="44"/>
      <c r="J100" s="44" t="str">
        <f t="shared" si="48"/>
        <v>Guatemala</v>
      </c>
      <c r="K100" s="44" t="s">
        <v>64</v>
      </c>
      <c r="L100" s="47"/>
      <c r="M100" s="47">
        <v>8.2910000000000004</v>
      </c>
      <c r="N100" s="47"/>
      <c r="O100" s="47"/>
      <c r="P100" s="47"/>
      <c r="Q100" s="47">
        <v>10.220000000000001</v>
      </c>
      <c r="R100" s="47">
        <v>10.813000000000001</v>
      </c>
      <c r="S100" s="47">
        <v>11.336</v>
      </c>
      <c r="T100" s="47">
        <v>12.06</v>
      </c>
      <c r="U100" s="47">
        <v>12.523</v>
      </c>
      <c r="V100" s="47" t="s">
        <v>65</v>
      </c>
      <c r="W100" s="34"/>
      <c r="X100" s="51"/>
      <c r="Y100" s="51"/>
      <c r="Z100" s="51"/>
    </row>
    <row r="101" spans="1:26" x14ac:dyDescent="0.2">
      <c r="A101" s="34" t="s">
        <v>39</v>
      </c>
      <c r="B101" s="44" t="s">
        <v>62</v>
      </c>
      <c r="C101" s="44">
        <f>J146/H146/1000</f>
        <v>0.339607837514249</v>
      </c>
      <c r="D101" s="44">
        <f>J147/H146/1000/K147*25</f>
        <v>2.3556378094207074E-3</v>
      </c>
      <c r="E101" s="52">
        <f>J148/H146/1000/K148*298</f>
        <v>8.9593528914264737E-4</v>
      </c>
      <c r="F101" s="44">
        <f t="shared" si="47"/>
        <v>0.34285941061281239</v>
      </c>
      <c r="G101" s="44">
        <v>2016</v>
      </c>
      <c r="H101" s="44"/>
      <c r="J101" s="44" t="str">
        <f t="shared" si="48"/>
        <v>Argentina</v>
      </c>
      <c r="K101" s="44" t="s">
        <v>64</v>
      </c>
      <c r="L101" s="47"/>
      <c r="M101" s="47"/>
      <c r="N101" s="47"/>
      <c r="O101" s="47"/>
      <c r="P101" s="47">
        <v>129.10499999999999</v>
      </c>
      <c r="Q101" s="47">
        <v>132.59</v>
      </c>
      <c r="R101" s="47">
        <v>131.62</v>
      </c>
      <c r="S101" s="47">
        <v>137.809</v>
      </c>
      <c r="T101" s="47">
        <v>139.483</v>
      </c>
      <c r="U101" s="47">
        <v>138.35900000000001</v>
      </c>
      <c r="V101" s="47" t="s">
        <v>65</v>
      </c>
      <c r="W101" s="34"/>
      <c r="X101" s="51"/>
      <c r="Y101" s="51"/>
      <c r="Z101" s="51"/>
    </row>
    <row r="102" spans="1:26" x14ac:dyDescent="0.2">
      <c r="A102" s="34" t="s">
        <v>40</v>
      </c>
      <c r="B102" s="44" t="s">
        <v>62</v>
      </c>
      <c r="C102" s="44"/>
      <c r="D102" s="44"/>
      <c r="E102" s="44"/>
      <c r="F102" s="44">
        <f>J116/Q102/1000</f>
        <v>0.49377561365680905</v>
      </c>
      <c r="G102" s="44">
        <v>2016</v>
      </c>
      <c r="H102" s="44"/>
      <c r="J102" s="44" t="str">
        <f t="shared" si="48"/>
        <v>Chile</v>
      </c>
      <c r="K102" s="44" t="s">
        <v>64</v>
      </c>
      <c r="L102" s="47"/>
      <c r="M102" s="47"/>
      <c r="N102" s="47"/>
      <c r="O102" s="47"/>
      <c r="P102" s="47"/>
      <c r="Q102" s="47">
        <v>70.031000000000006</v>
      </c>
      <c r="R102" s="47">
        <v>67.768000000000001</v>
      </c>
      <c r="S102" s="47">
        <v>72.331999999999994</v>
      </c>
      <c r="T102" s="47">
        <v>76.090999999999994</v>
      </c>
      <c r="U102" s="47">
        <v>76.242000000000004</v>
      </c>
      <c r="V102" s="47">
        <v>78.251000000000005</v>
      </c>
      <c r="W102" s="34"/>
      <c r="X102" s="51"/>
      <c r="Y102" s="51"/>
      <c r="Z102" s="51"/>
    </row>
    <row r="103" spans="1:26" x14ac:dyDescent="0.2">
      <c r="A103" s="53" t="s">
        <v>41</v>
      </c>
      <c r="B103" s="44" t="s">
        <v>62</v>
      </c>
      <c r="C103" s="44">
        <f>Q116/N116/1000</f>
        <v>0.28399611650485435</v>
      </c>
      <c r="D103" s="44">
        <f>Q117/N116/1000</f>
        <v>5.0970873786407766E-4</v>
      </c>
      <c r="E103" s="44">
        <f>Q118/N116/1000</f>
        <v>1.0126213592233011E-3</v>
      </c>
      <c r="F103" s="44">
        <f t="shared" si="47"/>
        <v>0.28551844660194176</v>
      </c>
      <c r="G103" s="44">
        <v>2012</v>
      </c>
      <c r="H103" s="44"/>
      <c r="J103" s="44" t="str">
        <f t="shared" si="48"/>
        <v>Uruguay</v>
      </c>
      <c r="K103" s="44" t="s">
        <v>64</v>
      </c>
      <c r="L103" s="47"/>
      <c r="M103" s="47"/>
      <c r="N103" s="47"/>
      <c r="O103" s="47"/>
      <c r="P103" s="47">
        <v>10.3</v>
      </c>
      <c r="Q103" s="47">
        <v>11.086</v>
      </c>
      <c r="R103" s="47">
        <v>12.353999999999999</v>
      </c>
      <c r="S103" s="47">
        <v>12.97</v>
      </c>
      <c r="T103" s="47">
        <v>13.132999999999999</v>
      </c>
      <c r="U103" s="47">
        <v>13.545999999999999</v>
      </c>
      <c r="V103" s="47" t="s">
        <v>65</v>
      </c>
      <c r="W103" s="34"/>
      <c r="X103" s="51"/>
      <c r="Y103" s="51"/>
      <c r="Z103" s="51"/>
    </row>
    <row r="104" spans="1:26" x14ac:dyDescent="0.2">
      <c r="A104" s="34" t="s">
        <v>42</v>
      </c>
      <c r="B104" s="44" t="s">
        <v>62</v>
      </c>
      <c r="C104" s="44">
        <f>Q122/R104/1000</f>
        <v>0.96362186027529406</v>
      </c>
      <c r="D104" s="44">
        <f>Q123/R104/1000</f>
        <v>3.4782770007049305E-4</v>
      </c>
      <c r="E104" s="44">
        <f>Q124/R104/1000</f>
        <v>4.1461061848402777E-3</v>
      </c>
      <c r="F104" s="44">
        <f t="shared" si="47"/>
        <v>0.96811579416020477</v>
      </c>
      <c r="G104" s="44">
        <v>2014</v>
      </c>
      <c r="H104" s="44"/>
      <c r="J104" s="44" t="str">
        <f t="shared" si="48"/>
        <v>Indonesia</v>
      </c>
      <c r="K104" s="44" t="s">
        <v>64</v>
      </c>
      <c r="L104" s="47"/>
      <c r="M104" s="47"/>
      <c r="N104" s="47"/>
      <c r="O104" s="47"/>
      <c r="P104" s="47"/>
      <c r="Q104" s="47">
        <v>204.47800000000001</v>
      </c>
      <c r="R104" s="47">
        <v>215.624</v>
      </c>
      <c r="S104" s="47">
        <v>221.30600000000001</v>
      </c>
      <c r="T104" s="47">
        <v>234.727</v>
      </c>
      <c r="U104" s="47">
        <v>241.32599999999999</v>
      </c>
      <c r="V104" s="47" t="s">
        <v>65</v>
      </c>
      <c r="W104" s="34"/>
      <c r="X104" s="51"/>
      <c r="Y104" s="51"/>
      <c r="Z104" s="51"/>
    </row>
    <row r="105" spans="1:26" ht="16" customHeight="1" x14ac:dyDescent="0.2">
      <c r="A105" s="34" t="s">
        <v>43</v>
      </c>
      <c r="B105" s="44" t="s">
        <v>62</v>
      </c>
      <c r="C105" s="44">
        <f>Q128/R105/1000</f>
        <v>0.67102976674803372</v>
      </c>
      <c r="D105" s="44">
        <f>Q123/R105/1000</f>
        <v>5.0854353132628156E-4</v>
      </c>
      <c r="E105" s="44">
        <f>Q124/R105/1000</f>
        <v>6.0618388934092762E-3</v>
      </c>
      <c r="F105" s="44">
        <f t="shared" si="47"/>
        <v>0.67760014917276923</v>
      </c>
      <c r="G105" s="44">
        <v>2014</v>
      </c>
      <c r="H105" s="44"/>
      <c r="J105" s="44" t="str">
        <f t="shared" si="48"/>
        <v>Malaysia</v>
      </c>
      <c r="K105" s="44" t="s">
        <v>64</v>
      </c>
      <c r="L105" s="47"/>
      <c r="M105" s="47"/>
      <c r="N105" s="47"/>
      <c r="O105" s="47"/>
      <c r="P105" s="47"/>
      <c r="Q105" s="47"/>
      <c r="R105" s="47">
        <v>147.47999999999999</v>
      </c>
      <c r="S105" s="47"/>
      <c r="T105" s="47"/>
      <c r="U105" s="47"/>
      <c r="V105" s="47"/>
      <c r="W105" s="49" t="s">
        <v>279</v>
      </c>
      <c r="X105" s="54"/>
      <c r="Y105" s="54"/>
      <c r="Z105" s="54"/>
    </row>
    <row r="106" spans="1:26" x14ac:dyDescent="0.2">
      <c r="A106" s="34" t="s">
        <v>44</v>
      </c>
      <c r="B106" s="44" t="s">
        <v>62</v>
      </c>
      <c r="C106" s="44">
        <f>J122/H122/1000</f>
        <v>0.41968993248183029</v>
      </c>
      <c r="D106" s="44">
        <f>J123/H122/1000/K123*25</f>
        <v>1.7227679787349513E-4</v>
      </c>
      <c r="E106" s="44">
        <f>J124/H122/1000/K124*298</f>
        <v>1.4872239863604143E-3</v>
      </c>
      <c r="F106" s="44">
        <f>SUM(C106:E106)</f>
        <v>0.42134943326606422</v>
      </c>
      <c r="G106" s="44">
        <v>2014</v>
      </c>
      <c r="H106" s="44"/>
      <c r="J106" s="44" t="str">
        <f t="shared" si="48"/>
        <v>Singapore</v>
      </c>
      <c r="K106" s="44" t="s">
        <v>64</v>
      </c>
      <c r="L106" s="47"/>
      <c r="M106" s="47"/>
      <c r="N106" s="47"/>
      <c r="O106" s="47"/>
      <c r="P106" s="47"/>
      <c r="Q106" s="47">
        <v>45.174999999999997</v>
      </c>
      <c r="R106" s="47">
        <v>46.506</v>
      </c>
      <c r="S106" s="47">
        <v>47.488</v>
      </c>
      <c r="T106" s="47">
        <v>48.671999999999997</v>
      </c>
      <c r="U106" s="47">
        <v>49.341000000000001</v>
      </c>
      <c r="V106" s="47">
        <v>49.832000000000001</v>
      </c>
      <c r="W106" s="34"/>
      <c r="X106" s="51"/>
      <c r="Y106" s="51"/>
      <c r="Z106" s="51"/>
    </row>
    <row r="107" spans="1:26" x14ac:dyDescent="0.2">
      <c r="A107" s="34" t="s">
        <v>45</v>
      </c>
      <c r="B107" s="44" t="s">
        <v>62</v>
      </c>
      <c r="C107" s="44">
        <f>K134/R107/1000</f>
        <v>0.39242122744658947</v>
      </c>
      <c r="D107" s="44">
        <f>K135/R107/1000</f>
        <v>1.4090010745981531E-4</v>
      </c>
      <c r="E107" s="44">
        <f>K136/R107/1000</f>
        <v>1.2092610822631187E-3</v>
      </c>
      <c r="F107" s="44">
        <f t="shared" si="47"/>
        <v>0.39377138863631239</v>
      </c>
      <c r="G107" s="44">
        <v>2014</v>
      </c>
      <c r="H107" s="44"/>
      <c r="J107" s="44" t="str">
        <f t="shared" si="48"/>
        <v>Viet Nam</v>
      </c>
      <c r="K107" s="44" t="s">
        <v>64</v>
      </c>
      <c r="L107" s="47"/>
      <c r="M107" s="47"/>
      <c r="N107" s="47"/>
      <c r="O107" s="47"/>
      <c r="P107" s="47"/>
      <c r="Q107" s="47">
        <v>115.955</v>
      </c>
      <c r="R107" s="47">
        <v>133.07300000000001</v>
      </c>
      <c r="S107" s="47">
        <v>156.35300000000001</v>
      </c>
      <c r="T107" s="47">
        <v>174.56299999999999</v>
      </c>
      <c r="U107" s="47">
        <v>173.29900000000001</v>
      </c>
      <c r="V107" s="47" t="s">
        <v>65</v>
      </c>
      <c r="W107" s="34"/>
      <c r="X107" s="51"/>
      <c r="Y107" s="51"/>
      <c r="Z107" s="51"/>
    </row>
    <row r="108" spans="1:26" x14ac:dyDescent="0.2">
      <c r="A108" s="34" t="s">
        <v>46</v>
      </c>
      <c r="B108" s="44" t="s">
        <v>62</v>
      </c>
      <c r="C108" s="44">
        <f>Q134/L108/1000</f>
        <v>0.65973210548346584</v>
      </c>
      <c r="D108" s="44">
        <f>Q135/L108/1000</f>
        <v>6.5613227291753872E-3</v>
      </c>
      <c r="E108" s="44">
        <f>Q136/L108/1000</f>
        <v>0.12611050648807032</v>
      </c>
      <c r="F108" s="44">
        <f t="shared" si="47"/>
        <v>0.79240393470071158</v>
      </c>
      <c r="G108" s="44">
        <v>2000</v>
      </c>
      <c r="H108" s="44"/>
      <c r="J108" s="44" t="str">
        <f t="shared" si="48"/>
        <v>Algeria</v>
      </c>
      <c r="K108" s="44" t="s">
        <v>64</v>
      </c>
      <c r="L108" s="47">
        <v>23.89</v>
      </c>
      <c r="M108" s="47"/>
      <c r="N108" s="47"/>
      <c r="O108" s="47">
        <v>42.998100000000001</v>
      </c>
      <c r="P108" s="47"/>
      <c r="Q108" s="47">
        <v>56.506</v>
      </c>
      <c r="R108" s="47">
        <v>60.598999999999997</v>
      </c>
      <c r="S108" s="47">
        <v>64.786000000000001</v>
      </c>
      <c r="T108" s="47">
        <v>66.861999999999995</v>
      </c>
      <c r="U108" s="47">
        <v>71.483000000000004</v>
      </c>
      <c r="V108" s="47" t="s">
        <v>65</v>
      </c>
      <c r="W108" s="34"/>
      <c r="X108" s="51"/>
      <c r="Y108" s="51"/>
      <c r="Z108" s="51"/>
    </row>
    <row r="109" spans="1:26" ht="16" customHeight="1" x14ac:dyDescent="0.2">
      <c r="A109" s="34" t="s">
        <v>47</v>
      </c>
      <c r="B109" s="44" t="s">
        <v>62</v>
      </c>
      <c r="C109" s="44">
        <f>Q140/N140/1000</f>
        <v>0.16166780587833215</v>
      </c>
      <c r="D109" s="44">
        <f>Q141/N140/1000</f>
        <v>7.142857142857142E-5</v>
      </c>
      <c r="E109" s="44">
        <f>Q142/N140/1000</f>
        <v>8.5550239234449734E-5</v>
      </c>
      <c r="F109" s="44">
        <f t="shared" si="47"/>
        <v>0.16182478468899519</v>
      </c>
      <c r="G109" s="44">
        <v>2016</v>
      </c>
      <c r="H109" s="44"/>
      <c r="J109" s="44" t="str">
        <f t="shared" si="48"/>
        <v>Armenia</v>
      </c>
      <c r="K109" s="44" t="s">
        <v>64</v>
      </c>
      <c r="L109" s="34"/>
      <c r="M109" s="34"/>
      <c r="N109" s="34"/>
      <c r="O109" s="34"/>
      <c r="P109" s="34"/>
      <c r="Q109" s="34"/>
      <c r="R109" s="34"/>
      <c r="S109" s="34"/>
      <c r="T109" s="34">
        <v>7.3150000000000004</v>
      </c>
      <c r="U109" s="34"/>
      <c r="V109" s="34"/>
      <c r="W109" s="49" t="s">
        <v>281</v>
      </c>
      <c r="X109" s="50"/>
      <c r="Y109" s="50"/>
      <c r="Z109" s="50"/>
    </row>
    <row r="110" spans="1:26" ht="85" x14ac:dyDescent="0.2">
      <c r="A110" s="34" t="s">
        <v>49</v>
      </c>
      <c r="B110" s="44" t="s">
        <v>62</v>
      </c>
      <c r="C110" s="44"/>
      <c r="D110" s="44"/>
      <c r="E110" s="44"/>
      <c r="F110" s="44">
        <v>0.73399999999999999</v>
      </c>
      <c r="G110" s="44">
        <v>2015</v>
      </c>
      <c r="H110" s="55" t="s">
        <v>269</v>
      </c>
      <c r="J110" s="44" t="str">
        <f t="shared" si="48"/>
        <v>China</v>
      </c>
      <c r="K110" s="44" t="s">
        <v>64</v>
      </c>
      <c r="L110" s="34"/>
      <c r="M110" s="34"/>
      <c r="N110" s="34"/>
      <c r="O110" s="34"/>
      <c r="P110" s="34"/>
      <c r="Q110" s="34">
        <v>5170.66</v>
      </c>
      <c r="R110" s="34">
        <v>5387.9110000000001</v>
      </c>
      <c r="S110" s="34">
        <v>5562.4759999999997</v>
      </c>
      <c r="T110" s="34">
        <v>5883.7629999999999</v>
      </c>
      <c r="U110" s="34">
        <v>6266.2349999999997</v>
      </c>
      <c r="V110" s="34">
        <v>6712.1785</v>
      </c>
      <c r="W110" s="34"/>
      <c r="X110" s="51"/>
      <c r="Y110" s="51"/>
      <c r="Z110" s="51"/>
    </row>
    <row r="111" spans="1:26" ht="85" x14ac:dyDescent="0.2">
      <c r="A111" s="34" t="s">
        <v>51</v>
      </c>
      <c r="B111" s="44" t="s">
        <v>62</v>
      </c>
      <c r="C111" s="44"/>
      <c r="D111" s="44"/>
      <c r="E111" s="44"/>
      <c r="F111" s="44">
        <v>9.8000000000000004E-2</v>
      </c>
      <c r="G111" s="44">
        <v>2015</v>
      </c>
      <c r="H111" s="55" t="s">
        <v>270</v>
      </c>
      <c r="J111" s="44" t="str">
        <f t="shared" si="48"/>
        <v>Brazil</v>
      </c>
      <c r="K111" s="44" t="s">
        <v>64</v>
      </c>
      <c r="L111" s="34"/>
      <c r="M111" s="34"/>
      <c r="N111" s="34"/>
      <c r="O111" s="34"/>
      <c r="P111" s="34"/>
      <c r="Q111" s="34">
        <v>559.00300000000004</v>
      </c>
      <c r="R111" s="34">
        <v>577.04499999999996</v>
      </c>
      <c r="S111" s="34">
        <v>568.649</v>
      </c>
      <c r="T111" s="34">
        <v>567.947</v>
      </c>
      <c r="U111" s="34">
        <v>577.94299999999998</v>
      </c>
      <c r="V111" s="34">
        <v>591.61400000000003</v>
      </c>
      <c r="W111" s="34"/>
    </row>
    <row r="112" spans="1:26" x14ac:dyDescent="0.2">
      <c r="A112" s="56" t="s">
        <v>268</v>
      </c>
      <c r="B112" s="40"/>
      <c r="C112" s="40"/>
      <c r="D112" s="40"/>
      <c r="E112" s="40"/>
      <c r="F112" s="40"/>
      <c r="G112" s="40"/>
      <c r="H112" s="40"/>
      <c r="J112" s="40" t="s">
        <v>66</v>
      </c>
    </row>
    <row r="113" spans="1:19" x14ac:dyDescent="0.2">
      <c r="A113" s="40"/>
      <c r="B113" s="40"/>
      <c r="C113" s="40"/>
      <c r="D113" s="40"/>
      <c r="E113" s="40"/>
      <c r="F113" s="40"/>
      <c r="G113" s="40"/>
      <c r="H113" s="40"/>
      <c r="J113" s="40" t="s">
        <v>284</v>
      </c>
    </row>
    <row r="114" spans="1:19" x14ac:dyDescent="0.2">
      <c r="A114" s="41" t="s">
        <v>67</v>
      </c>
      <c r="B114" s="40"/>
      <c r="C114" s="40"/>
      <c r="D114" s="40"/>
      <c r="E114" s="40"/>
      <c r="F114" s="40"/>
      <c r="G114" s="40"/>
      <c r="H114" s="40"/>
    </row>
    <row r="115" spans="1:19" ht="48" x14ac:dyDescent="0.2">
      <c r="A115" s="124" t="s">
        <v>53</v>
      </c>
      <c r="B115" s="43" t="s">
        <v>68</v>
      </c>
      <c r="C115" s="43" t="s">
        <v>69</v>
      </c>
      <c r="D115" s="43">
        <v>2014</v>
      </c>
      <c r="E115" s="57" t="s">
        <v>70</v>
      </c>
      <c r="F115" s="40"/>
      <c r="G115" s="118" t="s">
        <v>40</v>
      </c>
      <c r="H115" s="57" t="s">
        <v>68</v>
      </c>
      <c r="I115" s="57" t="s">
        <v>266</v>
      </c>
      <c r="J115" s="57">
        <v>2016</v>
      </c>
      <c r="K115" s="57" t="s">
        <v>80</v>
      </c>
      <c r="M115" s="118" t="s">
        <v>41</v>
      </c>
      <c r="N115" s="57" t="s">
        <v>68</v>
      </c>
      <c r="O115" s="57" t="s">
        <v>265</v>
      </c>
      <c r="P115" s="57">
        <v>2012</v>
      </c>
      <c r="Q115" s="57" t="s">
        <v>69</v>
      </c>
      <c r="R115" s="58"/>
      <c r="S115" s="58"/>
    </row>
    <row r="116" spans="1:19" x14ac:dyDescent="0.2">
      <c r="A116" s="124"/>
      <c r="B116" s="44">
        <f>R93</f>
        <v>69.344999999999999</v>
      </c>
      <c r="C116" s="44" t="s">
        <v>0</v>
      </c>
      <c r="D116" s="44">
        <v>11938</v>
      </c>
      <c r="E116" s="44"/>
      <c r="F116" s="40"/>
      <c r="G116" s="119"/>
      <c r="H116" s="44">
        <f>T102</f>
        <v>76.090999999999994</v>
      </c>
      <c r="I116" s="44" t="s">
        <v>83</v>
      </c>
      <c r="J116" s="59">
        <v>34579.599999999999</v>
      </c>
      <c r="K116" s="44" t="s">
        <v>271</v>
      </c>
      <c r="M116" s="119"/>
      <c r="N116" s="44">
        <f>P103</f>
        <v>10.3</v>
      </c>
      <c r="O116" s="44" t="s">
        <v>0</v>
      </c>
      <c r="P116" s="59">
        <v>2925.16</v>
      </c>
      <c r="Q116" s="60">
        <f>P116</f>
        <v>2925.16</v>
      </c>
      <c r="R116" s="58"/>
      <c r="S116" s="58"/>
    </row>
    <row r="117" spans="1:19" x14ac:dyDescent="0.2">
      <c r="A117" s="124"/>
      <c r="B117" s="44"/>
      <c r="C117" s="44" t="s">
        <v>1</v>
      </c>
      <c r="D117" s="44">
        <v>4</v>
      </c>
      <c r="E117" s="44">
        <v>21</v>
      </c>
      <c r="F117" s="40"/>
      <c r="G117" s="119"/>
      <c r="H117" s="44"/>
      <c r="I117" s="44"/>
      <c r="J117" s="44"/>
      <c r="K117" s="44"/>
      <c r="M117" s="119"/>
      <c r="N117" s="44"/>
      <c r="O117" s="44" t="s">
        <v>1</v>
      </c>
      <c r="P117" s="44">
        <v>0.21</v>
      </c>
      <c r="Q117" s="60">
        <f>P117*25</f>
        <v>5.25</v>
      </c>
      <c r="R117" s="58"/>
      <c r="S117" s="58"/>
    </row>
    <row r="118" spans="1:19" x14ac:dyDescent="0.2">
      <c r="A118" s="124"/>
      <c r="B118" s="44"/>
      <c r="C118" s="44" t="s">
        <v>2</v>
      </c>
      <c r="D118" s="44">
        <v>31</v>
      </c>
      <c r="E118" s="44">
        <v>310</v>
      </c>
      <c r="F118" s="40"/>
      <c r="G118" s="120"/>
      <c r="H118" s="44"/>
      <c r="I118" s="44"/>
      <c r="J118" s="44"/>
      <c r="K118" s="44"/>
      <c r="L118" s="59"/>
      <c r="M118" s="120"/>
      <c r="N118" s="44"/>
      <c r="O118" s="44" t="s">
        <v>2</v>
      </c>
      <c r="P118" s="44">
        <f>3.5*10^(-2)</f>
        <v>3.5000000000000003E-2</v>
      </c>
      <c r="Q118" s="60">
        <f>P118*298</f>
        <v>10.430000000000001</v>
      </c>
    </row>
    <row r="119" spans="1:19" ht="63" customHeight="1" x14ac:dyDescent="0.2">
      <c r="A119" s="45" t="s">
        <v>71</v>
      </c>
      <c r="B119" s="117" t="s">
        <v>72</v>
      </c>
      <c r="C119" s="117"/>
      <c r="D119" s="117"/>
      <c r="E119" s="117"/>
      <c r="F119" s="40"/>
      <c r="G119" s="45" t="s">
        <v>71</v>
      </c>
      <c r="H119" s="121" t="s">
        <v>272</v>
      </c>
      <c r="I119" s="122"/>
      <c r="J119" s="122"/>
      <c r="K119" s="123"/>
      <c r="L119" s="59"/>
      <c r="M119" s="45" t="s">
        <v>71</v>
      </c>
      <c r="N119" s="121" t="s">
        <v>283</v>
      </c>
      <c r="O119" s="122"/>
      <c r="P119" s="122"/>
      <c r="Q119" s="123"/>
    </row>
    <row r="120" spans="1:19" x14ac:dyDescent="0.2">
      <c r="A120" s="40"/>
      <c r="B120" s="40"/>
      <c r="C120" s="40"/>
      <c r="D120" s="40"/>
      <c r="E120" s="40"/>
      <c r="F120" s="40"/>
      <c r="G120" s="40"/>
      <c r="I120" s="59"/>
      <c r="J120" s="59"/>
      <c r="K120" s="59"/>
      <c r="L120" s="59"/>
      <c r="P120" s="58"/>
      <c r="Q120" s="58"/>
    </row>
    <row r="121" spans="1:19" ht="48" x14ac:dyDescent="0.2">
      <c r="A121" s="124" t="s">
        <v>50</v>
      </c>
      <c r="B121" s="45" t="s">
        <v>68</v>
      </c>
      <c r="C121" s="45" t="s">
        <v>69</v>
      </c>
      <c r="D121" s="45">
        <v>2014</v>
      </c>
      <c r="E121" s="57" t="s">
        <v>70</v>
      </c>
      <c r="F121" s="40"/>
      <c r="G121" s="118" t="s">
        <v>44</v>
      </c>
      <c r="H121" s="57" t="s">
        <v>68</v>
      </c>
      <c r="I121" s="57" t="s">
        <v>266</v>
      </c>
      <c r="J121" s="57">
        <v>2014</v>
      </c>
      <c r="K121" s="57" t="s">
        <v>80</v>
      </c>
      <c r="L121" s="59"/>
      <c r="M121" s="124" t="s">
        <v>42</v>
      </c>
      <c r="N121" s="57" t="s">
        <v>68</v>
      </c>
      <c r="O121" s="57" t="s">
        <v>267</v>
      </c>
      <c r="P121" s="57">
        <v>2014</v>
      </c>
      <c r="Q121" s="57" t="s">
        <v>266</v>
      </c>
    </row>
    <row r="122" spans="1:19" x14ac:dyDescent="0.2">
      <c r="A122" s="124"/>
      <c r="B122" s="44">
        <f>R94</f>
        <v>1213.7760000000001</v>
      </c>
      <c r="C122" s="44" t="s">
        <v>0</v>
      </c>
      <c r="D122" s="44">
        <v>1078153.76</v>
      </c>
      <c r="E122" s="44"/>
      <c r="F122" s="40"/>
      <c r="G122" s="119"/>
      <c r="H122" s="44">
        <f>R106</f>
        <v>46.506</v>
      </c>
      <c r="I122" s="44" t="s">
        <v>0</v>
      </c>
      <c r="J122" s="59">
        <v>19518.099999999999</v>
      </c>
      <c r="K122" s="44"/>
      <c r="L122" s="59"/>
      <c r="M122" s="124"/>
      <c r="N122" s="44">
        <f>R104</f>
        <v>215.624</v>
      </c>
      <c r="O122" s="44" t="s">
        <v>0</v>
      </c>
      <c r="P122" s="60">
        <v>207780</v>
      </c>
      <c r="Q122" s="60">
        <f>P122</f>
        <v>207780</v>
      </c>
      <c r="R122" s="61"/>
      <c r="S122" s="62"/>
    </row>
    <row r="123" spans="1:19" x14ac:dyDescent="0.2">
      <c r="A123" s="124"/>
      <c r="B123" s="44"/>
      <c r="C123" s="44" t="s">
        <v>1</v>
      </c>
      <c r="D123" s="44">
        <f>11.816*E123</f>
        <v>248.13600000000002</v>
      </c>
      <c r="E123" s="44">
        <v>21</v>
      </c>
      <c r="F123" s="40"/>
      <c r="G123" s="119"/>
      <c r="H123" s="44"/>
      <c r="I123" s="44" t="s">
        <v>1</v>
      </c>
      <c r="J123" s="44">
        <v>6.73</v>
      </c>
      <c r="K123" s="44">
        <v>21</v>
      </c>
      <c r="L123" s="59"/>
      <c r="M123" s="124"/>
      <c r="N123" s="44"/>
      <c r="O123" s="44" t="s">
        <v>1</v>
      </c>
      <c r="P123" s="44">
        <v>3</v>
      </c>
      <c r="Q123" s="34">
        <f>P123*25</f>
        <v>75</v>
      </c>
      <c r="R123" s="61"/>
      <c r="S123" s="62"/>
    </row>
    <row r="124" spans="1:19" x14ac:dyDescent="0.2">
      <c r="A124" s="124"/>
      <c r="B124" s="44"/>
      <c r="C124" s="44" t="s">
        <v>2</v>
      </c>
      <c r="D124" s="44">
        <f>16.245*E124</f>
        <v>5035.9500000000007</v>
      </c>
      <c r="E124" s="44">
        <v>310</v>
      </c>
      <c r="F124" s="40"/>
      <c r="G124" s="120"/>
      <c r="H124" s="44"/>
      <c r="I124" s="44" t="s">
        <v>2</v>
      </c>
      <c r="J124" s="44">
        <v>71.95</v>
      </c>
      <c r="K124" s="44">
        <v>310</v>
      </c>
      <c r="L124" s="59"/>
      <c r="M124" s="124"/>
      <c r="N124" s="44"/>
      <c r="O124" s="44" t="s">
        <v>2</v>
      </c>
      <c r="P124" s="44">
        <v>3</v>
      </c>
      <c r="Q124" s="34">
        <f>P124*298</f>
        <v>894</v>
      </c>
      <c r="R124" s="61"/>
      <c r="S124" s="62"/>
    </row>
    <row r="125" spans="1:19" ht="77" customHeight="1" x14ac:dyDescent="0.2">
      <c r="A125" s="45" t="s">
        <v>73</v>
      </c>
      <c r="B125" s="121" t="s">
        <v>74</v>
      </c>
      <c r="C125" s="122"/>
      <c r="D125" s="122"/>
      <c r="E125" s="123"/>
      <c r="F125" s="40"/>
      <c r="G125" s="45" t="s">
        <v>71</v>
      </c>
      <c r="H125" s="121" t="s">
        <v>276</v>
      </c>
      <c r="I125" s="122"/>
      <c r="J125" s="122"/>
      <c r="K125" s="123"/>
      <c r="L125" s="59"/>
      <c r="M125" s="45" t="s">
        <v>71</v>
      </c>
      <c r="N125" s="117" t="s">
        <v>282</v>
      </c>
      <c r="O125" s="117"/>
      <c r="P125" s="117"/>
      <c r="Q125" s="117"/>
      <c r="R125" s="61"/>
      <c r="S125" s="62"/>
    </row>
    <row r="126" spans="1:19" x14ac:dyDescent="0.2">
      <c r="A126" s="40"/>
      <c r="B126" s="40"/>
      <c r="C126" s="40"/>
      <c r="D126" s="40"/>
      <c r="E126" s="40"/>
      <c r="F126" s="40"/>
      <c r="G126" s="40"/>
      <c r="I126" s="59"/>
      <c r="J126" s="59"/>
      <c r="K126" s="59"/>
      <c r="L126" s="59"/>
      <c r="P126" s="58"/>
      <c r="Q126" s="58"/>
      <c r="R126" s="61"/>
      <c r="S126" s="62"/>
    </row>
    <row r="127" spans="1:19" ht="48" x14ac:dyDescent="0.2">
      <c r="A127" s="124" t="s">
        <v>54</v>
      </c>
      <c r="B127" s="45" t="s">
        <v>68</v>
      </c>
      <c r="C127" s="45" t="s">
        <v>69</v>
      </c>
      <c r="D127" s="45">
        <v>2014</v>
      </c>
      <c r="E127" s="57" t="s">
        <v>70</v>
      </c>
      <c r="F127" s="40"/>
      <c r="G127" s="118" t="s">
        <v>37</v>
      </c>
      <c r="H127" s="57" t="s">
        <v>68</v>
      </c>
      <c r="I127" s="57" t="s">
        <v>265</v>
      </c>
      <c r="J127" s="57">
        <v>2006</v>
      </c>
      <c r="K127" s="57" t="s">
        <v>69</v>
      </c>
      <c r="M127" s="124" t="s">
        <v>43</v>
      </c>
      <c r="N127" s="57" t="s">
        <v>68</v>
      </c>
      <c r="O127" s="57" t="s">
        <v>265</v>
      </c>
      <c r="P127" s="57">
        <v>2014</v>
      </c>
      <c r="Q127" s="57" t="s">
        <v>69</v>
      </c>
    </row>
    <row r="128" spans="1:19" x14ac:dyDescent="0.2">
      <c r="A128" s="124"/>
      <c r="B128" s="44">
        <f>R95</f>
        <v>286.08300000000003</v>
      </c>
      <c r="C128" s="44" t="s">
        <v>0</v>
      </c>
      <c r="D128" s="44">
        <v>124850.15</v>
      </c>
      <c r="E128" s="44"/>
      <c r="F128" s="40"/>
      <c r="G128" s="119"/>
      <c r="H128" s="44">
        <f>N99</f>
        <v>109.4992</v>
      </c>
      <c r="I128" s="44" t="s">
        <v>0</v>
      </c>
      <c r="J128" s="60">
        <v>49070.687299999998</v>
      </c>
      <c r="K128" s="60">
        <f>J128</f>
        <v>49070.687299999998</v>
      </c>
      <c r="M128" s="124"/>
      <c r="N128" s="44">
        <f>R105</f>
        <v>147.47999999999999</v>
      </c>
      <c r="O128" s="44" t="s">
        <v>0</v>
      </c>
      <c r="P128" s="60">
        <v>98963.47</v>
      </c>
      <c r="Q128" s="60">
        <f>P128</f>
        <v>98963.47</v>
      </c>
    </row>
    <row r="129" spans="1:17" x14ac:dyDescent="0.2">
      <c r="A129" s="124"/>
      <c r="B129" s="44"/>
      <c r="C129" s="44" t="s">
        <v>1</v>
      </c>
      <c r="D129" s="44">
        <v>67.819999999999993</v>
      </c>
      <c r="E129" s="44">
        <v>21</v>
      </c>
      <c r="F129" s="40"/>
      <c r="G129" s="119"/>
      <c r="H129" s="44"/>
      <c r="I129" s="44" t="s">
        <v>1</v>
      </c>
      <c r="J129" s="44">
        <v>35.791938000000002</v>
      </c>
      <c r="K129" s="60">
        <f>J129*25</f>
        <v>894.79845</v>
      </c>
      <c r="M129" s="124"/>
      <c r="N129" s="44"/>
      <c r="O129" s="44" t="s">
        <v>1</v>
      </c>
      <c r="P129" s="44">
        <v>1.65</v>
      </c>
      <c r="Q129" s="60">
        <f>P129*25</f>
        <v>41.25</v>
      </c>
    </row>
    <row r="130" spans="1:17" x14ac:dyDescent="0.2">
      <c r="A130" s="124"/>
      <c r="B130" s="44"/>
      <c r="C130" s="44" t="s">
        <v>2</v>
      </c>
      <c r="D130" s="44">
        <v>206.46</v>
      </c>
      <c r="E130" s="44">
        <v>310</v>
      </c>
      <c r="F130" s="40"/>
      <c r="G130" s="120"/>
      <c r="H130" s="44"/>
      <c r="I130" s="44" t="s">
        <v>2</v>
      </c>
      <c r="J130" s="44">
        <v>41.545126000000003</v>
      </c>
      <c r="K130" s="60">
        <f>J130*298</f>
        <v>12380.447548</v>
      </c>
      <c r="M130" s="124"/>
      <c r="N130" s="44"/>
      <c r="O130" s="44" t="s">
        <v>2</v>
      </c>
      <c r="P130" s="44">
        <v>0.98</v>
      </c>
      <c r="Q130" s="60">
        <f>P130*298</f>
        <v>292.04000000000002</v>
      </c>
    </row>
    <row r="131" spans="1:17" ht="144" customHeight="1" x14ac:dyDescent="0.2">
      <c r="A131" s="45" t="s">
        <v>71</v>
      </c>
      <c r="B131" s="125" t="s">
        <v>75</v>
      </c>
      <c r="C131" s="126"/>
      <c r="D131" s="126"/>
      <c r="E131" s="127"/>
      <c r="F131" s="40"/>
      <c r="G131" s="45" t="s">
        <v>71</v>
      </c>
      <c r="H131" s="117" t="s">
        <v>275</v>
      </c>
      <c r="I131" s="117"/>
      <c r="J131" s="117"/>
      <c r="K131" s="117"/>
      <c r="M131" s="45" t="s">
        <v>71</v>
      </c>
      <c r="N131" s="125" t="s">
        <v>279</v>
      </c>
      <c r="O131" s="126"/>
      <c r="P131" s="126"/>
      <c r="Q131" s="127"/>
    </row>
    <row r="132" spans="1:17" x14ac:dyDescent="0.2">
      <c r="A132" s="40"/>
      <c r="B132" s="40"/>
      <c r="C132" s="40"/>
      <c r="D132" s="40"/>
      <c r="E132" s="40"/>
      <c r="F132" s="40"/>
      <c r="G132" s="40"/>
    </row>
    <row r="133" spans="1:17" ht="48" x14ac:dyDescent="0.2">
      <c r="A133" s="128" t="s">
        <v>76</v>
      </c>
      <c r="B133" s="45" t="s">
        <v>68</v>
      </c>
      <c r="C133" s="45" t="s">
        <v>69</v>
      </c>
      <c r="D133" s="45">
        <v>2014</v>
      </c>
      <c r="E133" s="57" t="s">
        <v>70</v>
      </c>
      <c r="F133" s="40"/>
      <c r="G133" s="124" t="s">
        <v>45</v>
      </c>
      <c r="H133" s="57" t="s">
        <v>68</v>
      </c>
      <c r="I133" s="57" t="s">
        <v>267</v>
      </c>
      <c r="J133" s="57">
        <v>2014</v>
      </c>
      <c r="K133" s="57" t="s">
        <v>266</v>
      </c>
      <c r="M133" s="124" t="s">
        <v>46</v>
      </c>
      <c r="N133" s="57" t="s">
        <v>68</v>
      </c>
      <c r="O133" s="57" t="s">
        <v>265</v>
      </c>
      <c r="P133" s="57">
        <v>2000</v>
      </c>
      <c r="Q133" s="57" t="s">
        <v>69</v>
      </c>
    </row>
    <row r="134" spans="1:17" x14ac:dyDescent="0.2">
      <c r="A134" s="128"/>
      <c r="B134" s="44">
        <f>R96</f>
        <v>5.0650000000000004</v>
      </c>
      <c r="C134" s="44" t="s">
        <v>0</v>
      </c>
      <c r="D134" s="44">
        <f>248.53+9.38+9162.23</f>
        <v>9420.14</v>
      </c>
      <c r="E134" s="44"/>
      <c r="F134" s="40"/>
      <c r="G134" s="124"/>
      <c r="H134" s="44">
        <f>R107</f>
        <v>133.07300000000001</v>
      </c>
      <c r="I134" s="44" t="s">
        <v>0</v>
      </c>
      <c r="J134" s="60">
        <v>52220.67</v>
      </c>
      <c r="K134" s="60">
        <f>J134</f>
        <v>52220.67</v>
      </c>
      <c r="M134" s="124"/>
      <c r="N134" s="44">
        <f>L108</f>
        <v>23.89</v>
      </c>
      <c r="O134" s="44" t="s">
        <v>0</v>
      </c>
      <c r="P134" s="34">
        <f>15087+674</f>
        <v>15761</v>
      </c>
      <c r="Q134" s="60">
        <f>P134</f>
        <v>15761</v>
      </c>
    </row>
    <row r="135" spans="1:17" x14ac:dyDescent="0.2">
      <c r="A135" s="128"/>
      <c r="B135" s="44"/>
      <c r="C135" s="44" t="s">
        <v>1</v>
      </c>
      <c r="D135" s="44">
        <f>0.21+0.01+2.32</f>
        <v>2.54</v>
      </c>
      <c r="E135" s="44">
        <v>21</v>
      </c>
      <c r="F135" s="40"/>
      <c r="G135" s="124"/>
      <c r="H135" s="44"/>
      <c r="I135" s="44" t="s">
        <v>1</v>
      </c>
      <c r="J135" s="44">
        <v>0.75</v>
      </c>
      <c r="K135" s="34">
        <f>J135*25</f>
        <v>18.75</v>
      </c>
      <c r="M135" s="124"/>
      <c r="N135" s="44"/>
      <c r="O135" s="44" t="s">
        <v>1</v>
      </c>
      <c r="P135" s="34">
        <f>(5.7+0.57)</f>
        <v>6.2700000000000005</v>
      </c>
      <c r="Q135" s="60">
        <f>P135*25</f>
        <v>156.75</v>
      </c>
    </row>
    <row r="136" spans="1:17" x14ac:dyDescent="0.2">
      <c r="A136" s="128"/>
      <c r="B136" s="63"/>
      <c r="C136" s="63" t="s">
        <v>2</v>
      </c>
      <c r="D136" s="63">
        <f>0.62+0.02+51.37</f>
        <v>52.01</v>
      </c>
      <c r="E136" s="63">
        <v>310</v>
      </c>
      <c r="F136" s="40"/>
      <c r="G136" s="124"/>
      <c r="H136" s="44"/>
      <c r="I136" s="44" t="s">
        <v>2</v>
      </c>
      <c r="J136" s="44">
        <v>0.54</v>
      </c>
      <c r="K136" s="34">
        <f>J136*298</f>
        <v>160.92000000000002</v>
      </c>
      <c r="M136" s="124"/>
      <c r="N136" s="44"/>
      <c r="O136" s="44" t="s">
        <v>2</v>
      </c>
      <c r="P136" s="34">
        <f>(8.4+1.71)</f>
        <v>10.11</v>
      </c>
      <c r="Q136" s="60">
        <f>P136*298</f>
        <v>3012.7799999999997</v>
      </c>
    </row>
    <row r="137" spans="1:17" ht="76" customHeight="1" x14ac:dyDescent="0.2">
      <c r="A137" s="64" t="s">
        <v>71</v>
      </c>
      <c r="B137" s="129" t="s">
        <v>77</v>
      </c>
      <c r="C137" s="129"/>
      <c r="D137" s="129"/>
      <c r="E137" s="129"/>
      <c r="F137" s="65"/>
      <c r="G137" s="45" t="s">
        <v>71</v>
      </c>
      <c r="H137" s="117" t="s">
        <v>274</v>
      </c>
      <c r="I137" s="117"/>
      <c r="J137" s="117"/>
      <c r="K137" s="117"/>
      <c r="L137" s="34"/>
      <c r="M137" s="45" t="s">
        <v>71</v>
      </c>
      <c r="N137" s="125" t="s">
        <v>280</v>
      </c>
      <c r="O137" s="126"/>
      <c r="P137" s="126"/>
      <c r="Q137" s="127"/>
    </row>
    <row r="138" spans="1:17" x14ac:dyDescent="0.2">
      <c r="A138" s="40"/>
      <c r="B138" s="40"/>
      <c r="C138" s="66"/>
      <c r="D138" s="40"/>
      <c r="E138" s="40"/>
      <c r="F138" s="40"/>
      <c r="G138" s="40"/>
      <c r="H138" s="40"/>
    </row>
    <row r="139" spans="1:17" ht="48" x14ac:dyDescent="0.2">
      <c r="A139" s="130" t="s">
        <v>56</v>
      </c>
      <c r="B139" s="43" t="s">
        <v>68</v>
      </c>
      <c r="C139" s="57" t="s">
        <v>69</v>
      </c>
      <c r="D139" s="43">
        <v>2015</v>
      </c>
      <c r="E139" s="57" t="s">
        <v>70</v>
      </c>
      <c r="F139" s="40"/>
      <c r="G139" s="118" t="s">
        <v>38</v>
      </c>
      <c r="H139" s="57" t="s">
        <v>68</v>
      </c>
      <c r="I139" s="57" t="s">
        <v>277</v>
      </c>
      <c r="J139" s="57">
        <v>2005</v>
      </c>
      <c r="K139" s="57" t="s">
        <v>266</v>
      </c>
      <c r="M139" s="118" t="s">
        <v>47</v>
      </c>
      <c r="N139" s="57" t="s">
        <v>68</v>
      </c>
      <c r="O139" s="57" t="s">
        <v>267</v>
      </c>
      <c r="P139" s="57">
        <v>2016</v>
      </c>
      <c r="Q139" s="57" t="s">
        <v>266</v>
      </c>
    </row>
    <row r="140" spans="1:17" x14ac:dyDescent="0.2">
      <c r="A140" s="131"/>
      <c r="B140" s="44">
        <f>S97</f>
        <v>230.61500000000001</v>
      </c>
      <c r="C140" s="44" t="s">
        <v>0</v>
      </c>
      <c r="D140" s="44">
        <v>224009</v>
      </c>
      <c r="E140" s="44"/>
      <c r="F140" s="40"/>
      <c r="G140" s="119"/>
      <c r="H140" s="44">
        <f>M100</f>
        <v>8.2910000000000004</v>
      </c>
      <c r="I140" s="44" t="s">
        <v>0</v>
      </c>
      <c r="J140" s="59">
        <v>2550.4029</v>
      </c>
      <c r="K140" s="60">
        <f>J140</f>
        <v>2550.4029</v>
      </c>
      <c r="M140" s="119"/>
      <c r="N140" s="44">
        <f>T109</f>
        <v>7.3150000000000004</v>
      </c>
      <c r="O140" s="44" t="s">
        <v>0</v>
      </c>
      <c r="P140" s="59">
        <v>1182.5999999999999</v>
      </c>
      <c r="Q140" s="67">
        <f>P140</f>
        <v>1182.5999999999999</v>
      </c>
    </row>
    <row r="141" spans="1:17" x14ac:dyDescent="0.2">
      <c r="A141" s="131"/>
      <c r="B141" s="44"/>
      <c r="C141" s="44" t="s">
        <v>1</v>
      </c>
      <c r="D141" s="44">
        <v>52</v>
      </c>
      <c r="E141" s="44">
        <v>21</v>
      </c>
      <c r="F141" s="40"/>
      <c r="G141" s="119"/>
      <c r="H141" s="44"/>
      <c r="I141" s="44" t="s">
        <v>1</v>
      </c>
      <c r="J141" s="33">
        <v>1.2E-2</v>
      </c>
      <c r="K141" s="34">
        <f>J141*25</f>
        <v>0.3</v>
      </c>
      <c r="M141" s="119"/>
      <c r="N141" s="44"/>
      <c r="O141" s="44" t="s">
        <v>1</v>
      </c>
      <c r="P141" s="44">
        <v>2.0899999999999998E-2</v>
      </c>
      <c r="Q141" s="44">
        <f>P141*25</f>
        <v>0.52249999999999996</v>
      </c>
    </row>
    <row r="142" spans="1:17" x14ac:dyDescent="0.2">
      <c r="A142" s="132"/>
      <c r="B142" s="44"/>
      <c r="C142" s="44" t="s">
        <v>2</v>
      </c>
      <c r="D142" s="44">
        <v>1069</v>
      </c>
      <c r="E142" s="44">
        <v>310</v>
      </c>
      <c r="F142" s="40"/>
      <c r="G142" s="120"/>
      <c r="H142" s="44"/>
      <c r="I142" s="44" t="s">
        <v>2</v>
      </c>
      <c r="J142" s="33">
        <v>1.6799999999999999E-2</v>
      </c>
      <c r="K142" s="34">
        <f>J142*298</f>
        <v>5.0063999999999993</v>
      </c>
      <c r="M142" s="120"/>
      <c r="N142" s="44"/>
      <c r="O142" s="44" t="s">
        <v>2</v>
      </c>
      <c r="P142" s="44">
        <v>2.0999999999999999E-3</v>
      </c>
      <c r="Q142" s="44">
        <f>P142*298</f>
        <v>0.62579999999999991</v>
      </c>
    </row>
    <row r="143" spans="1:17" ht="76" customHeight="1" x14ac:dyDescent="0.2">
      <c r="A143" s="45" t="s">
        <v>78</v>
      </c>
      <c r="B143" s="117" t="s">
        <v>79</v>
      </c>
      <c r="C143" s="117"/>
      <c r="D143" s="117"/>
      <c r="E143" s="117"/>
      <c r="F143" s="40"/>
      <c r="G143" s="45" t="s">
        <v>71</v>
      </c>
      <c r="H143" s="121" t="s">
        <v>278</v>
      </c>
      <c r="I143" s="122"/>
      <c r="J143" s="122"/>
      <c r="K143" s="123"/>
      <c r="M143" s="45" t="s">
        <v>71</v>
      </c>
      <c r="N143" s="121" t="s">
        <v>281</v>
      </c>
      <c r="O143" s="122"/>
      <c r="P143" s="122"/>
      <c r="Q143" s="123"/>
    </row>
    <row r="144" spans="1:17" x14ac:dyDescent="0.2">
      <c r="A144" s="40"/>
      <c r="B144" s="40"/>
      <c r="C144" s="66"/>
      <c r="D144" s="40"/>
      <c r="E144" s="40"/>
      <c r="F144" s="40"/>
      <c r="G144" s="40"/>
      <c r="H144" s="40"/>
    </row>
    <row r="145" spans="1:17" ht="48" x14ac:dyDescent="0.2">
      <c r="A145" s="118" t="s">
        <v>34</v>
      </c>
      <c r="B145" s="57" t="s">
        <v>68</v>
      </c>
      <c r="C145" s="57" t="s">
        <v>69</v>
      </c>
      <c r="D145" s="57">
        <v>2017</v>
      </c>
      <c r="E145" s="57" t="s">
        <v>70</v>
      </c>
      <c r="F145" s="40"/>
      <c r="G145" s="118" t="s">
        <v>39</v>
      </c>
      <c r="H145" s="57" t="s">
        <v>68</v>
      </c>
      <c r="I145" s="57" t="s">
        <v>69</v>
      </c>
      <c r="J145" s="57">
        <v>2016</v>
      </c>
      <c r="K145" s="57" t="s">
        <v>80</v>
      </c>
    </row>
    <row r="146" spans="1:17" x14ac:dyDescent="0.2">
      <c r="A146" s="119"/>
      <c r="B146" s="44"/>
      <c r="C146" s="44" t="s">
        <v>0</v>
      </c>
      <c r="D146" s="44">
        <v>2.1</v>
      </c>
      <c r="E146" s="44" t="s">
        <v>65</v>
      </c>
      <c r="F146" s="40"/>
      <c r="G146" s="119"/>
      <c r="H146" s="44">
        <f>T101</f>
        <v>139.483</v>
      </c>
      <c r="I146" s="44" t="s">
        <v>0</v>
      </c>
      <c r="J146" s="59">
        <v>47369.52</v>
      </c>
      <c r="K146" s="44"/>
      <c r="Q146" s="39"/>
    </row>
    <row r="147" spans="1:17" x14ac:dyDescent="0.2">
      <c r="A147" s="119"/>
      <c r="B147" s="44"/>
      <c r="C147" s="44" t="s">
        <v>1</v>
      </c>
      <c r="D147" s="44">
        <v>0</v>
      </c>
      <c r="E147" s="44"/>
      <c r="F147" s="40"/>
      <c r="G147" s="119"/>
      <c r="H147" s="44"/>
      <c r="I147" s="44" t="s">
        <v>1</v>
      </c>
      <c r="J147" s="59">
        <v>276</v>
      </c>
      <c r="K147" s="44">
        <v>21</v>
      </c>
    </row>
    <row r="148" spans="1:17" x14ac:dyDescent="0.2">
      <c r="A148" s="120"/>
      <c r="B148" s="44"/>
      <c r="C148" s="44" t="s">
        <v>2</v>
      </c>
      <c r="D148" s="44">
        <v>0</v>
      </c>
      <c r="E148" s="44"/>
      <c r="F148" s="40"/>
      <c r="G148" s="120"/>
      <c r="H148" s="44"/>
      <c r="I148" s="44" t="s">
        <v>2</v>
      </c>
      <c r="J148" s="59">
        <v>130</v>
      </c>
      <c r="K148" s="44">
        <v>310</v>
      </c>
    </row>
    <row r="149" spans="1:17" ht="76" customHeight="1" x14ac:dyDescent="0.2">
      <c r="A149" s="45" t="s">
        <v>71</v>
      </c>
      <c r="B149" s="121" t="s">
        <v>285</v>
      </c>
      <c r="C149" s="122"/>
      <c r="D149" s="122"/>
      <c r="E149" s="123"/>
      <c r="F149" s="40"/>
      <c r="G149" s="45" t="s">
        <v>71</v>
      </c>
      <c r="H149" s="121" t="s">
        <v>273</v>
      </c>
      <c r="I149" s="122"/>
      <c r="J149" s="122"/>
      <c r="K149" s="123"/>
    </row>
    <row r="150" spans="1:17" x14ac:dyDescent="0.2">
      <c r="A150" s="40"/>
      <c r="B150" s="68"/>
      <c r="C150" s="66"/>
      <c r="D150" s="40"/>
      <c r="E150" s="40"/>
      <c r="F150" s="40"/>
      <c r="G150" s="40"/>
      <c r="H150" s="40"/>
    </row>
  </sheetData>
  <mergeCells count="47">
    <mergeCell ref="J35:L36"/>
    <mergeCell ref="N35:W36"/>
    <mergeCell ref="N37:R37"/>
    <mergeCell ref="S37:W37"/>
    <mergeCell ref="S38:V38"/>
    <mergeCell ref="O38:R38"/>
    <mergeCell ref="A31:B31"/>
    <mergeCell ref="C31:D31"/>
    <mergeCell ref="C38:E38"/>
    <mergeCell ref="C37:E37"/>
    <mergeCell ref="F37:H37"/>
    <mergeCell ref="F38:H38"/>
    <mergeCell ref="A35:H36"/>
    <mergeCell ref="A115:A118"/>
    <mergeCell ref="B119:E119"/>
    <mergeCell ref="A121:A124"/>
    <mergeCell ref="B125:E125"/>
    <mergeCell ref="A127:A130"/>
    <mergeCell ref="B131:E131"/>
    <mergeCell ref="A133:A136"/>
    <mergeCell ref="B137:E137"/>
    <mergeCell ref="G145:G148"/>
    <mergeCell ref="H149:K149"/>
    <mergeCell ref="A139:A142"/>
    <mergeCell ref="B143:E143"/>
    <mergeCell ref="A145:A148"/>
    <mergeCell ref="B149:E149"/>
    <mergeCell ref="G139:G142"/>
    <mergeCell ref="N143:Q143"/>
    <mergeCell ref="M133:M136"/>
    <mergeCell ref="G127:G130"/>
    <mergeCell ref="H131:K131"/>
    <mergeCell ref="M139:M142"/>
    <mergeCell ref="N131:Q131"/>
    <mergeCell ref="N137:Q137"/>
    <mergeCell ref="H143:K143"/>
    <mergeCell ref="G133:G136"/>
    <mergeCell ref="H137:K137"/>
    <mergeCell ref="N125:Q125"/>
    <mergeCell ref="G121:G124"/>
    <mergeCell ref="H125:K125"/>
    <mergeCell ref="M127:M130"/>
    <mergeCell ref="G115:G118"/>
    <mergeCell ref="H119:K119"/>
    <mergeCell ref="M115:M118"/>
    <mergeCell ref="N119:Q119"/>
    <mergeCell ref="M121:M124"/>
  </mergeCells>
  <phoneticPr fontId="16"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4C176-5553-7C40-8A00-EC83D3C354AC}">
  <dimension ref="B1:P25"/>
  <sheetViews>
    <sheetView workbookViewId="0">
      <selection activeCell="L25" sqref="L25"/>
    </sheetView>
  </sheetViews>
  <sheetFormatPr baseColWidth="10" defaultRowHeight="16" x14ac:dyDescent="0.2"/>
  <sheetData>
    <row r="1" spans="2:16" x14ac:dyDescent="0.2">
      <c r="B1" s="9" t="s">
        <v>175</v>
      </c>
      <c r="C1" s="27"/>
      <c r="D1" s="27"/>
      <c r="E1" s="27"/>
      <c r="F1" s="27"/>
      <c r="G1" s="27"/>
      <c r="H1" s="27"/>
      <c r="J1" s="9" t="s">
        <v>176</v>
      </c>
      <c r="K1" s="27"/>
      <c r="L1" s="27"/>
      <c r="M1" s="27"/>
      <c r="N1" s="27"/>
      <c r="O1" s="27"/>
      <c r="P1" s="27"/>
    </row>
    <row r="2" spans="2:16" x14ac:dyDescent="0.2">
      <c r="B2" s="11" t="s">
        <v>177</v>
      </c>
      <c r="C2" s="12" t="s">
        <v>0</v>
      </c>
      <c r="D2" s="12" t="s">
        <v>1</v>
      </c>
      <c r="E2" s="12" t="s">
        <v>2</v>
      </c>
      <c r="F2" s="28" t="s">
        <v>286</v>
      </c>
      <c r="G2" s="12" t="s">
        <v>178</v>
      </c>
      <c r="H2" s="12" t="s">
        <v>179</v>
      </c>
      <c r="J2" s="11" t="s">
        <v>177</v>
      </c>
      <c r="K2" s="12" t="s">
        <v>0</v>
      </c>
      <c r="L2" s="12" t="s">
        <v>1</v>
      </c>
      <c r="M2" s="12" t="s">
        <v>2</v>
      </c>
      <c r="N2" s="29" t="s">
        <v>286</v>
      </c>
      <c r="O2" s="12" t="s">
        <v>178</v>
      </c>
      <c r="P2" s="12" t="s">
        <v>179</v>
      </c>
    </row>
    <row r="3" spans="2:16" x14ac:dyDescent="0.2">
      <c r="B3" s="6" t="s">
        <v>180</v>
      </c>
      <c r="C3" s="13"/>
      <c r="D3" s="13"/>
      <c r="E3" s="13"/>
      <c r="F3" s="13"/>
      <c r="G3" s="13"/>
      <c r="H3" s="13"/>
      <c r="J3" s="6" t="s">
        <v>180</v>
      </c>
      <c r="K3" s="13"/>
      <c r="L3" s="13"/>
      <c r="M3" s="13"/>
      <c r="N3" s="13"/>
      <c r="O3" s="13"/>
      <c r="P3" s="13"/>
    </row>
    <row r="4" spans="2:16" x14ac:dyDescent="0.2">
      <c r="B4" s="6" t="s">
        <v>181</v>
      </c>
      <c r="C4" s="13">
        <v>0</v>
      </c>
      <c r="D4" s="13">
        <v>0</v>
      </c>
      <c r="E4" s="13">
        <v>0</v>
      </c>
      <c r="F4" s="13">
        <v>0</v>
      </c>
      <c r="G4" s="13"/>
      <c r="H4" s="13"/>
      <c r="J4" s="6" t="s">
        <v>181</v>
      </c>
      <c r="K4" s="13">
        <v>0</v>
      </c>
      <c r="L4" s="13">
        <v>0</v>
      </c>
      <c r="M4" s="13">
        <v>0</v>
      </c>
      <c r="N4" s="13">
        <v>0</v>
      </c>
      <c r="O4" s="13"/>
      <c r="P4" s="13"/>
    </row>
    <row r="5" spans="2:16" x14ac:dyDescent="0.2">
      <c r="B5" s="6" t="s">
        <v>182</v>
      </c>
      <c r="C5" s="13">
        <v>0</v>
      </c>
      <c r="D5" s="13">
        <v>0</v>
      </c>
      <c r="E5" s="13">
        <v>0</v>
      </c>
      <c r="F5" s="13">
        <v>0</v>
      </c>
      <c r="G5" s="13"/>
      <c r="H5" s="13"/>
      <c r="J5" s="6" t="s">
        <v>182</v>
      </c>
      <c r="K5" s="13">
        <v>0</v>
      </c>
      <c r="L5" s="13">
        <v>0</v>
      </c>
      <c r="M5" s="13">
        <v>0</v>
      </c>
      <c r="N5" s="13">
        <v>0</v>
      </c>
      <c r="O5" s="13"/>
      <c r="P5" s="13"/>
    </row>
    <row r="6" spans="2:16" x14ac:dyDescent="0.2">
      <c r="B6" s="6" t="s">
        <v>95</v>
      </c>
      <c r="C6" s="16">
        <f>'4. Fossil Source'!C59</f>
        <v>0.35380961984292969</v>
      </c>
      <c r="D6" s="16">
        <f>'4. Fossil Source'!D59</f>
        <v>9.3833917378382712E-4</v>
      </c>
      <c r="E6" s="16">
        <f>'4. Fossil Source'!E59</f>
        <v>1.62690952021865E-3</v>
      </c>
      <c r="F6" s="16">
        <f>'4. Fossil Source'!F59</f>
        <v>0.35637486853693218</v>
      </c>
      <c r="G6" s="13"/>
      <c r="H6" s="13"/>
      <c r="J6" s="6" t="s">
        <v>95</v>
      </c>
      <c r="K6" s="16">
        <f>'4. Fossil Source'!K59</f>
        <v>0.35387999999997166</v>
      </c>
      <c r="L6" s="16">
        <f>'4. Fossil Source'!L59</f>
        <v>2.6999999999997842E-2</v>
      </c>
      <c r="M6" s="16">
        <f>'4. Fossil Source'!M59</f>
        <v>1.6091999999998713E-3</v>
      </c>
      <c r="N6" s="16">
        <f>'4. Fossil Source'!N59</f>
        <v>0.38248919999996939</v>
      </c>
      <c r="O6" s="13"/>
      <c r="P6" s="13"/>
    </row>
    <row r="7" spans="2:16" x14ac:dyDescent="0.2">
      <c r="B7" s="6" t="s">
        <v>96</v>
      </c>
      <c r="C7" s="16">
        <f>'4. Fossil Source'!C60</f>
        <v>0.31836674891378225</v>
      </c>
      <c r="D7" s="16">
        <f>'4. Fossil Source'!D60</f>
        <v>9.3833917378382712E-4</v>
      </c>
      <c r="E7" s="16">
        <f>'4. Fossil Source'!E60</f>
        <v>1.62690952021865E-3</v>
      </c>
      <c r="F7" s="16">
        <f>'4. Fossil Source'!F60</f>
        <v>0.32093199760778479</v>
      </c>
      <c r="G7" s="13"/>
      <c r="H7" s="13"/>
      <c r="J7" s="6" t="s">
        <v>96</v>
      </c>
      <c r="K7" s="16">
        <f>'4. Fossil Source'!K60</f>
        <v>0.34055999999997277</v>
      </c>
      <c r="L7" s="16">
        <f>'4. Fossil Source'!L60</f>
        <v>2.6999999999997842E-2</v>
      </c>
      <c r="M7" s="16">
        <f>'4. Fossil Source'!M60</f>
        <v>1.6091999999998713E-3</v>
      </c>
      <c r="N7" s="16">
        <f>'4. Fossil Source'!N60</f>
        <v>0.3691691999999705</v>
      </c>
      <c r="O7" s="13"/>
      <c r="P7" s="13"/>
    </row>
    <row r="8" spans="2:16" x14ac:dyDescent="0.2">
      <c r="B8" s="6" t="s">
        <v>97</v>
      </c>
      <c r="C8" s="16">
        <f>'4. Fossil Source'!C61</f>
        <v>0.38940726313421303</v>
      </c>
      <c r="D8" s="16">
        <f>'4. Fossil Source'!D61</f>
        <v>9.3833917378382712E-4</v>
      </c>
      <c r="E8" s="16">
        <f>'4. Fossil Source'!E61</f>
        <v>1.62690952021865E-3</v>
      </c>
      <c r="F8" s="16">
        <f>'4. Fossil Source'!F61</f>
        <v>0.39197251182821552</v>
      </c>
      <c r="G8" s="13"/>
      <c r="H8" s="13"/>
      <c r="J8" s="6" t="s">
        <v>97</v>
      </c>
      <c r="K8" s="16">
        <f>'4. Fossil Source'!K61</f>
        <v>0.38519999999996918</v>
      </c>
      <c r="L8" s="16">
        <f>'4. Fossil Source'!L61</f>
        <v>2.6999999999997842E-2</v>
      </c>
      <c r="M8" s="16">
        <f>'4. Fossil Source'!M61</f>
        <v>1.6091999999998713E-3</v>
      </c>
      <c r="N8" s="16">
        <f>'4. Fossil Source'!N61</f>
        <v>0.4138091999999669</v>
      </c>
      <c r="O8" s="13"/>
      <c r="P8" s="13"/>
    </row>
    <row r="9" spans="2:16" x14ac:dyDescent="0.2">
      <c r="B9" s="6" t="s">
        <v>92</v>
      </c>
      <c r="C9" s="16">
        <f>'4. Fossil Source'!C62</f>
        <v>0.24959822022649802</v>
      </c>
      <c r="D9" s="16">
        <f>'4. Fossil Source'!D62</f>
        <v>2.5591068375922554E-4</v>
      </c>
      <c r="E9" s="16">
        <f>'4. Fossil Source'!E62</f>
        <v>6.100910700819937E-4</v>
      </c>
      <c r="F9" s="16">
        <f>'4. Fossil Source'!F62</f>
        <v>0.25046422198033924</v>
      </c>
      <c r="G9" s="13"/>
      <c r="H9" s="13"/>
      <c r="J9" s="6" t="s">
        <v>92</v>
      </c>
      <c r="K9" s="16">
        <f>'4. Fossil Source'!K62</f>
        <v>0.26675999999997868</v>
      </c>
      <c r="L9" s="16">
        <f>'4. Fossil Source'!L62</f>
        <v>8.9999999999992798E-4</v>
      </c>
      <c r="M9" s="16">
        <f>'4. Fossil Source'!M62</f>
        <v>6.4367999999994838E-4</v>
      </c>
      <c r="N9" s="16">
        <f>'4. Fossil Source'!N62</f>
        <v>0.26830367999997851</v>
      </c>
      <c r="O9" s="13"/>
      <c r="P9" s="13"/>
    </row>
    <row r="10" spans="2:16" x14ac:dyDescent="0.2">
      <c r="B10" s="6" t="s">
        <v>90</v>
      </c>
      <c r="C10" s="16">
        <f>'4. Fossil Source'!C63</f>
        <v>0.21513358336906047</v>
      </c>
      <c r="D10" s="16">
        <f>'4. Fossil Source'!D63</f>
        <v>2.5591068375922554E-4</v>
      </c>
      <c r="E10" s="16">
        <f>'4. Fossil Source'!E63</f>
        <v>6.100910700819937E-4</v>
      </c>
      <c r="F10" s="16">
        <f>'4. Fossil Source'!F63</f>
        <v>0.21599958512290171</v>
      </c>
      <c r="G10" s="13"/>
      <c r="H10" s="13"/>
      <c r="J10" s="6" t="s">
        <v>90</v>
      </c>
      <c r="K10" s="16">
        <f>'4. Fossil Source'!K63</f>
        <v>0.21513358336906047</v>
      </c>
      <c r="L10" s="16">
        <f>'4. Fossil Source'!L63</f>
        <v>2.5591068375922554E-4</v>
      </c>
      <c r="M10" s="16">
        <f>'4. Fossil Source'!M63</f>
        <v>6.100910700819937E-4</v>
      </c>
      <c r="N10" s="16">
        <f>'4. Fossil Source'!N63</f>
        <v>0.21599958512290168</v>
      </c>
      <c r="O10" s="13"/>
      <c r="P10" s="13"/>
    </row>
    <row r="11" spans="2:16" x14ac:dyDescent="0.2">
      <c r="B11" s="6" t="s">
        <v>98</v>
      </c>
      <c r="C11" s="16">
        <f>'4. Fossil Source'!C64</f>
        <v>0.32005896182153809</v>
      </c>
      <c r="D11" s="16">
        <f>'4. Fossil Source'!D64</f>
        <v>6.1418564102214135E-4</v>
      </c>
      <c r="E11" s="16">
        <f>'4. Fossil Source'!E64</f>
        <v>3.6605464204919622E-3</v>
      </c>
      <c r="F11" s="16">
        <f>'4. Fossil Source'!F64</f>
        <v>0.32433369388305222</v>
      </c>
      <c r="G11" s="13"/>
      <c r="H11" s="13"/>
      <c r="J11" s="6" t="s">
        <v>98</v>
      </c>
      <c r="K11" s="16">
        <f>'4. Fossil Source'!K64</f>
        <v>0.40319999999996775</v>
      </c>
      <c r="L11" s="16">
        <f>'4. Fossil Source'!L64</f>
        <v>2.6999999999997842E-2</v>
      </c>
      <c r="M11" s="16">
        <f>'4. Fossil Source'!M64</f>
        <v>4.2911999999996567E-3</v>
      </c>
      <c r="N11" s="16">
        <f>'4. Fossil Source'!N64</f>
        <v>0.43449119999996527</v>
      </c>
      <c r="O11" s="13"/>
      <c r="P11" s="13"/>
    </row>
    <row r="12" spans="2:16" x14ac:dyDescent="0.2">
      <c r="B12" s="6" t="s">
        <v>101</v>
      </c>
      <c r="C12" s="16">
        <f>'4. Fossil Source'!C65</f>
        <v>0.22613974088190233</v>
      </c>
      <c r="D12" s="16">
        <f>'4. Fossil Source'!D65</f>
        <v>1.0662945156634398E-4</v>
      </c>
      <c r="E12" s="16">
        <f>'4. Fossil Source'!E65</f>
        <v>1.2710230626708201E-4</v>
      </c>
      <c r="F12" s="16">
        <f>'4. Fossil Source'!F65</f>
        <v>0.22637347263973576</v>
      </c>
      <c r="G12" s="13"/>
      <c r="H12" s="13"/>
      <c r="J12" s="6" t="s">
        <v>101</v>
      </c>
      <c r="K12" s="16">
        <f>'4. Fossil Source'!K65</f>
        <v>0.2524499999999798</v>
      </c>
      <c r="L12" s="16">
        <f>'4. Fossil Source'!L65</f>
        <v>5.6249999999995496E-4</v>
      </c>
      <c r="M12" s="16">
        <f>'4. Fossil Source'!M65</f>
        <v>1.3409999999998927E-4</v>
      </c>
      <c r="N12" s="16">
        <f>'4. Fossil Source'!N65</f>
        <v>0.25314659999997974</v>
      </c>
      <c r="O12" s="13"/>
      <c r="P12" s="13"/>
    </row>
    <row r="13" spans="2:16" x14ac:dyDescent="0.2">
      <c r="B13" s="6" t="s">
        <v>102</v>
      </c>
      <c r="C13" s="16">
        <f>'4. Fossil Source'!C66</f>
        <v>0.22613974088190233</v>
      </c>
      <c r="D13" s="16">
        <f>'4. Fossil Source'!D66</f>
        <v>1.0662945156634398E-4</v>
      </c>
      <c r="E13" s="16">
        <f>'4. Fossil Source'!E66</f>
        <v>1.2710230626708201E-4</v>
      </c>
      <c r="F13" s="16">
        <f>'4. Fossil Source'!F66</f>
        <v>0.22637347263973576</v>
      </c>
      <c r="G13" s="13"/>
      <c r="H13" s="13"/>
      <c r="J13" s="6" t="s">
        <v>102</v>
      </c>
      <c r="K13" s="16">
        <f>'4. Fossil Source'!K66</f>
        <v>0.2524499999999798</v>
      </c>
      <c r="L13" s="16">
        <f>'4. Fossil Source'!L66</f>
        <v>5.6249999999995496E-4</v>
      </c>
      <c r="M13" s="16">
        <f>'4. Fossil Source'!M66</f>
        <v>1.3409999999998927E-4</v>
      </c>
      <c r="N13" s="16">
        <f>'4. Fossil Source'!N66</f>
        <v>0.25314659999997974</v>
      </c>
      <c r="O13" s="13"/>
      <c r="P13" s="13"/>
    </row>
    <row r="14" spans="2:16" x14ac:dyDescent="0.2">
      <c r="B14" s="30" t="s">
        <v>103</v>
      </c>
      <c r="C14" s="16"/>
      <c r="D14" s="16"/>
      <c r="E14" s="16"/>
      <c r="F14" s="16">
        <f>AVERAGE('1. Electricity'!O3:O28)*1.1/0.8</f>
        <v>0.62663128537184476</v>
      </c>
      <c r="G14" s="13"/>
      <c r="H14" s="13"/>
      <c r="J14" s="6" t="s">
        <v>103</v>
      </c>
      <c r="K14" s="17"/>
      <c r="L14" s="13"/>
      <c r="M14" s="13"/>
      <c r="N14" s="17">
        <f>F14</f>
        <v>0.62663128537184476</v>
      </c>
      <c r="O14" s="13"/>
      <c r="P14" s="13"/>
    </row>
    <row r="15" spans="2:16" x14ac:dyDescent="0.2">
      <c r="B15" s="6" t="s">
        <v>104</v>
      </c>
      <c r="C15" s="16">
        <f>'4. Fossil Source'!C68</f>
        <v>0.25125358338255288</v>
      </c>
      <c r="D15" s="16">
        <f>'4. Fossil Source'!D68</f>
        <v>1.1835869123864185E-4</v>
      </c>
      <c r="E15" s="16">
        <f>'4. Fossil Source'!E68</f>
        <v>1.2825778177860095E-4</v>
      </c>
      <c r="F15" s="16">
        <f>'4. Fossil Source'!F68</f>
        <v>0.25150019985557015</v>
      </c>
      <c r="G15" s="13"/>
      <c r="H15" s="13"/>
      <c r="J15" s="6" t="s">
        <v>104</v>
      </c>
      <c r="K15" s="16">
        <f>'4. Fossil Source'!K68</f>
        <v>0.28021949999997758</v>
      </c>
      <c r="L15" s="16">
        <f>'4. Fossil Source'!L68</f>
        <v>1.2487499999999004E-4</v>
      </c>
      <c r="M15" s="16">
        <f>'4. Fossil Source'!M68</f>
        <v>1.3531909090908011E-4</v>
      </c>
      <c r="N15" s="16">
        <f>'4. Fossil Source'!N68</f>
        <v>0.28047969409088663</v>
      </c>
      <c r="O15" s="13"/>
      <c r="P15" s="13"/>
    </row>
    <row r="16" spans="2:16" x14ac:dyDescent="0.2">
      <c r="B16" s="6" t="s">
        <v>105</v>
      </c>
      <c r="C16" s="16">
        <f>'4. Fossil Source'!C69</f>
        <v>0.16750238892170194</v>
      </c>
      <c r="D16" s="16">
        <f>'4. Fossil Source'!D69</f>
        <v>7.8905794159094556E-5</v>
      </c>
      <c r="E16" s="16">
        <f>'4. Fossil Source'!E69</f>
        <v>9.4055706637640715E-5</v>
      </c>
      <c r="F16" s="16">
        <f>'4. Fossil Source'!F69</f>
        <v>0.16767535042249868</v>
      </c>
      <c r="G16" s="13"/>
      <c r="H16" s="13"/>
      <c r="J16" s="6" t="s">
        <v>105</v>
      </c>
      <c r="K16" s="16">
        <f>'4. Fossil Source'!K69</f>
        <v>0.1868129999999851</v>
      </c>
      <c r="L16" s="16">
        <f>'4. Fossil Source'!L69</f>
        <v>8.3249999999993363E-5</v>
      </c>
      <c r="M16" s="16">
        <f>'4. Fossil Source'!M69</f>
        <v>9.9233999999992077E-5</v>
      </c>
      <c r="N16" s="16">
        <f>'4. Fossil Source'!N69</f>
        <v>0.18699548399998511</v>
      </c>
      <c r="O16" s="13"/>
      <c r="P16" s="13"/>
    </row>
    <row r="17" spans="2:16" x14ac:dyDescent="0.2">
      <c r="B17" s="6" t="s">
        <v>183</v>
      </c>
      <c r="C17" s="16" t="s">
        <v>65</v>
      </c>
      <c r="D17" s="16" t="s">
        <v>65</v>
      </c>
      <c r="E17" s="16" t="s">
        <v>65</v>
      </c>
      <c r="F17" s="16" t="s">
        <v>65</v>
      </c>
      <c r="G17" s="13"/>
      <c r="H17" s="13"/>
      <c r="J17" s="6" t="s">
        <v>183</v>
      </c>
      <c r="K17" s="16" t="s">
        <v>65</v>
      </c>
      <c r="L17" s="16" t="s">
        <v>65</v>
      </c>
      <c r="M17" s="16" t="s">
        <v>65</v>
      </c>
      <c r="N17" s="16" t="s">
        <v>65</v>
      </c>
      <c r="O17" s="13"/>
      <c r="P17" s="13"/>
    </row>
    <row r="18" spans="2:16" x14ac:dyDescent="0.2">
      <c r="B18" s="6" t="s">
        <v>184</v>
      </c>
      <c r="C18" s="16">
        <f>'4. Fossil Source'!C71</f>
        <v>0.24993943447151029</v>
      </c>
      <c r="D18" s="16">
        <f>'4. Fossil Source'!D71</f>
        <v>2.5591068375922554E-4</v>
      </c>
      <c r="E18" s="16">
        <f>'4. Fossil Source'!E71</f>
        <v>6.100910700819937E-4</v>
      </c>
      <c r="F18" s="16">
        <f>'4. Fossil Source'!F71</f>
        <v>0.25080543622535151</v>
      </c>
      <c r="G18" s="13"/>
      <c r="H18" s="13"/>
      <c r="J18" s="6" t="s">
        <v>184</v>
      </c>
      <c r="K18" s="16">
        <f>'4. Fossil Source'!K71</f>
        <v>0.26675999999997868</v>
      </c>
      <c r="L18" s="16">
        <f>'4. Fossil Source'!L71</f>
        <v>8.9999999999992798E-4</v>
      </c>
      <c r="M18" s="16">
        <f>'4. Fossil Source'!M71</f>
        <v>6.4367999999994838E-4</v>
      </c>
      <c r="N18" s="16">
        <f>'4. Fossil Source'!N71</f>
        <v>0.26830367999997851</v>
      </c>
      <c r="O18" s="13"/>
      <c r="P18" s="13"/>
    </row>
    <row r="19" spans="2:16" x14ac:dyDescent="0.2">
      <c r="B19" s="6" t="s">
        <v>91</v>
      </c>
      <c r="C19" s="16">
        <f>'4. Fossil Source'!C72</f>
        <v>0.25236205561109759</v>
      </c>
      <c r="D19" s="16">
        <f>'4. Fossil Source'!D72</f>
        <v>2.5591068375922554E-4</v>
      </c>
      <c r="E19" s="16">
        <f>'4. Fossil Source'!E72</f>
        <v>6.100910700819937E-4</v>
      </c>
      <c r="F19" s="16">
        <f>'4. Fossil Source'!F72</f>
        <v>0.25322805736493881</v>
      </c>
      <c r="G19" s="13"/>
      <c r="H19" s="13"/>
      <c r="J19" s="6" t="s">
        <v>91</v>
      </c>
      <c r="K19" s="16">
        <f>'4. Fossil Source'!K72</f>
        <v>0.26675999999997868</v>
      </c>
      <c r="L19" s="16">
        <f>'4. Fossil Source'!L72</f>
        <v>8.9999999999992798E-4</v>
      </c>
      <c r="M19" s="16">
        <f>'4. Fossil Source'!M72</f>
        <v>6.4367999999994838E-4</v>
      </c>
      <c r="N19" s="16">
        <f>'4. Fossil Source'!N72</f>
        <v>0.26830367999997851</v>
      </c>
      <c r="O19" s="13"/>
      <c r="P19" s="13"/>
    </row>
    <row r="20" spans="2:16" x14ac:dyDescent="0.2">
      <c r="B20" s="6" t="s">
        <v>93</v>
      </c>
      <c r="C20" s="16">
        <f>'4. Fossil Source'!C73</f>
        <v>0.25604716945723049</v>
      </c>
      <c r="D20" s="16">
        <f>'4. Fossil Source'!D73</f>
        <v>2.5591068375922554E-4</v>
      </c>
      <c r="E20" s="16">
        <f>'4. Fossil Source'!E73</f>
        <v>6.100910700819937E-4</v>
      </c>
      <c r="F20" s="16">
        <f>'4. Fossil Source'!F73</f>
        <v>0.25691317121107171</v>
      </c>
      <c r="G20" s="13"/>
      <c r="H20" s="13"/>
      <c r="J20" s="6" t="s">
        <v>93</v>
      </c>
      <c r="K20" s="16">
        <f>'4. Fossil Source'!K73</f>
        <v>0.26675999999997868</v>
      </c>
      <c r="L20" s="16">
        <f>'4. Fossil Source'!L73</f>
        <v>8.9999999999992798E-4</v>
      </c>
      <c r="M20" s="16">
        <f>'4. Fossil Source'!M73</f>
        <v>6.4367999999994838E-4</v>
      </c>
      <c r="N20" s="16">
        <f>'4. Fossil Source'!N73</f>
        <v>0.26830367999997851</v>
      </c>
      <c r="O20" s="13"/>
      <c r="P20" s="13"/>
    </row>
    <row r="21" spans="2:16" x14ac:dyDescent="0.2">
      <c r="B21" s="6" t="s">
        <v>94</v>
      </c>
      <c r="C21" s="16">
        <f>'4. Fossil Source'!C74</f>
        <v>0.25254972344585441</v>
      </c>
      <c r="D21" s="16">
        <f>'4. Fossil Source'!D74</f>
        <v>2.5591068375922554E-4</v>
      </c>
      <c r="E21" s="16">
        <f>'4. Fossil Source'!E74</f>
        <v>6.100910700819937E-4</v>
      </c>
      <c r="F21" s="16">
        <f>'4. Fossil Source'!F74</f>
        <v>0.25341572519969563</v>
      </c>
      <c r="G21" s="13"/>
      <c r="H21" s="13"/>
      <c r="J21" s="6" t="s">
        <v>94</v>
      </c>
      <c r="K21" s="16">
        <f>'4. Fossil Source'!K74</f>
        <v>0.27863999999997768</v>
      </c>
      <c r="L21" s="16">
        <f>'4. Fossil Source'!L74</f>
        <v>8.9999999999992798E-4</v>
      </c>
      <c r="M21" s="16">
        <f>'4. Fossil Source'!M74</f>
        <v>6.4367999999994838E-4</v>
      </c>
      <c r="N21" s="16">
        <f>'4. Fossil Source'!N74</f>
        <v>0.28018367999997751</v>
      </c>
      <c r="O21" s="13"/>
      <c r="P21" s="13"/>
    </row>
    <row r="22" spans="2:16" x14ac:dyDescent="0.2">
      <c r="B22" s="6" t="s">
        <v>99</v>
      </c>
      <c r="C22" s="16">
        <f>'4. Fossil Source'!C75</f>
        <v>0.25659311224925019</v>
      </c>
      <c r="D22" s="16">
        <f>'4. Fossil Source'!D75</f>
        <v>2.5591068375922554E-4</v>
      </c>
      <c r="E22" s="16">
        <f>'4. Fossil Source'!E75</f>
        <v>6.100910700819937E-4</v>
      </c>
      <c r="F22" s="16">
        <f>'4. Fossil Source'!F75</f>
        <v>0.2574591140030914</v>
      </c>
      <c r="G22" s="13"/>
      <c r="H22" s="13"/>
      <c r="J22" s="6" t="s">
        <v>99</v>
      </c>
      <c r="K22" s="16">
        <f>'4. Fossil Source'!K75</f>
        <v>0.25883999999997931</v>
      </c>
      <c r="L22" s="16">
        <f>'4. Fossil Source'!L75</f>
        <v>8.9999999999992798E-4</v>
      </c>
      <c r="M22" s="16">
        <f>'4. Fossil Source'!M75</f>
        <v>6.4367999999994838E-4</v>
      </c>
      <c r="N22" s="16">
        <f>'4. Fossil Source'!N75</f>
        <v>0.26038367999997913</v>
      </c>
      <c r="O22" s="13"/>
      <c r="P22" s="13"/>
    </row>
    <row r="23" spans="2:16" x14ac:dyDescent="0.2">
      <c r="B23" s="6" t="s">
        <v>143</v>
      </c>
      <c r="C23" s="16">
        <f>'4. Fossil Source'!C76</f>
        <v>0.1810836636991372</v>
      </c>
      <c r="D23" s="16">
        <f>'4. Fossil Source'!D76</f>
        <v>8.530356125307519E-5</v>
      </c>
      <c r="E23" s="16">
        <f>'4. Fossil Source'!E76</f>
        <v>1.0168184501366563E-4</v>
      </c>
      <c r="F23" s="16">
        <f>'4. Fossil Source'!F76</f>
        <v>0.18127064910540394</v>
      </c>
      <c r="G23" s="13"/>
      <c r="H23" s="13"/>
      <c r="J23" s="6" t="s">
        <v>143</v>
      </c>
      <c r="K23" s="16">
        <f>'4. Fossil Source'!K76</f>
        <v>0.20195999999998385</v>
      </c>
      <c r="L23" s="16">
        <f>'4. Fossil Source'!L76</f>
        <v>4.4999999999996399E-4</v>
      </c>
      <c r="M23" s="16">
        <f>'4. Fossil Source'!M76</f>
        <v>1.0727999999999144E-4</v>
      </c>
      <c r="N23" s="16">
        <f>'4. Fossil Source'!N76</f>
        <v>0.20251727999998378</v>
      </c>
      <c r="O23" s="13"/>
      <c r="P23" s="13"/>
    </row>
    <row r="24" spans="2:16" x14ac:dyDescent="0.2">
      <c r="C24" s="27"/>
      <c r="D24" s="27"/>
      <c r="E24" s="27"/>
      <c r="F24" s="27"/>
      <c r="G24" s="27"/>
      <c r="H24" s="27"/>
      <c r="K24" s="27"/>
      <c r="L24" s="27"/>
      <c r="M24" s="27"/>
      <c r="N24" s="27"/>
      <c r="O24" s="27"/>
      <c r="P24" s="27"/>
    </row>
    <row r="25" spans="2:16" x14ac:dyDescent="0.2">
      <c r="B25" s="9" t="s">
        <v>186</v>
      </c>
      <c r="C25" s="27"/>
      <c r="D25" s="27"/>
      <c r="E25" s="27"/>
      <c r="F25" s="27"/>
      <c r="G25" s="27"/>
      <c r="H25" s="27"/>
      <c r="J25" s="9" t="s">
        <v>186</v>
      </c>
      <c r="K25" s="27"/>
      <c r="L25" s="27"/>
      <c r="M25" s="27"/>
      <c r="N25" s="27"/>
      <c r="O25" s="27"/>
      <c r="P25" s="2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2A7B7-1A87-4348-AE9B-A33781DF2AC5}">
  <dimension ref="B1:AD106"/>
  <sheetViews>
    <sheetView zoomScale="67" workbookViewId="0">
      <selection sqref="A1:XFD1"/>
    </sheetView>
  </sheetViews>
  <sheetFormatPr baseColWidth="10" defaultColWidth="8.83203125" defaultRowHeight="16" x14ac:dyDescent="0.2"/>
  <cols>
    <col min="1" max="1" width="8.5" customWidth="1"/>
    <col min="2" max="2" width="29.1640625" bestFit="1" customWidth="1"/>
    <col min="3" max="3" width="9" style="10" bestFit="1" customWidth="1"/>
    <col min="4" max="4" width="21.1640625" style="10" customWidth="1"/>
    <col min="5" max="5" width="13.1640625" style="10" customWidth="1"/>
    <col min="6" max="6" width="13.6640625" style="10" customWidth="1"/>
    <col min="7" max="7" width="19" style="10" customWidth="1"/>
    <col min="8" max="8" width="8.83203125" style="10"/>
    <col min="9" max="9" width="9" bestFit="1" customWidth="1"/>
    <col min="10" max="10" width="29.1640625" bestFit="1" customWidth="1"/>
    <col min="11" max="11" width="9.83203125" style="10" bestFit="1" customWidth="1"/>
    <col min="12" max="15" width="9" style="10" bestFit="1" customWidth="1"/>
    <col min="16" max="16" width="36.33203125" style="10" customWidth="1"/>
    <col min="18" max="18" width="9" bestFit="1" customWidth="1"/>
    <col min="22" max="22" width="23" customWidth="1"/>
    <col min="23" max="24" width="9" bestFit="1" customWidth="1"/>
    <col min="27" max="27" width="9" bestFit="1" customWidth="1"/>
    <col min="28" max="28" width="30.6640625" customWidth="1"/>
    <col min="29" max="29" width="9.6640625" bestFit="1" customWidth="1"/>
  </cols>
  <sheetData>
    <row r="1" spans="2:30" x14ac:dyDescent="0.2">
      <c r="B1" t="s">
        <v>287</v>
      </c>
      <c r="C1" s="155"/>
      <c r="D1" s="155"/>
      <c r="E1" s="156"/>
      <c r="U1" t="s">
        <v>290</v>
      </c>
    </row>
    <row r="2" spans="2:30" x14ac:dyDescent="0.2">
      <c r="B2" s="11"/>
      <c r="C2" s="12" t="s">
        <v>0</v>
      </c>
      <c r="D2" s="12" t="s">
        <v>60</v>
      </c>
      <c r="E2" s="23" t="s">
        <v>81</v>
      </c>
      <c r="F2" s="12" t="s">
        <v>215</v>
      </c>
      <c r="G2" s="12" t="s">
        <v>60</v>
      </c>
      <c r="H2" s="13"/>
      <c r="I2" s="11" t="s">
        <v>1</v>
      </c>
      <c r="J2" s="12" t="s">
        <v>60</v>
      </c>
      <c r="K2" s="12" t="s">
        <v>81</v>
      </c>
      <c r="L2" s="12" t="s">
        <v>217</v>
      </c>
      <c r="M2" s="12" t="s">
        <v>60</v>
      </c>
      <c r="N2" s="13"/>
      <c r="O2" s="11" t="s">
        <v>2</v>
      </c>
      <c r="P2" s="12" t="s">
        <v>60</v>
      </c>
      <c r="Q2" s="12" t="s">
        <v>81</v>
      </c>
      <c r="R2" s="12" t="s">
        <v>217</v>
      </c>
      <c r="S2" s="12" t="s">
        <v>60</v>
      </c>
      <c r="U2" s="11" t="s">
        <v>177</v>
      </c>
      <c r="V2" s="6" t="s">
        <v>0</v>
      </c>
      <c r="W2" s="6" t="s">
        <v>1</v>
      </c>
      <c r="X2" s="6" t="s">
        <v>2</v>
      </c>
      <c r="Y2" s="6" t="s">
        <v>60</v>
      </c>
      <c r="Z2" s="31" t="s">
        <v>293</v>
      </c>
      <c r="AA2" s="6" t="s">
        <v>0</v>
      </c>
      <c r="AB2" s="6" t="s">
        <v>1</v>
      </c>
      <c r="AC2" s="6" t="s">
        <v>2</v>
      </c>
      <c r="AD2" s="6" t="s">
        <v>60</v>
      </c>
    </row>
    <row r="3" spans="2:30" x14ac:dyDescent="0.2">
      <c r="B3" s="6" t="s">
        <v>95</v>
      </c>
      <c r="C3" s="14">
        <v>228.6</v>
      </c>
      <c r="D3" s="14" t="s">
        <v>84</v>
      </c>
      <c r="E3" s="25" t="s">
        <v>218</v>
      </c>
      <c r="F3" s="14">
        <f>C3/2.20462</f>
        <v>103.69133909698725</v>
      </c>
      <c r="G3" s="13" t="s">
        <v>85</v>
      </c>
      <c r="H3" s="13"/>
      <c r="I3" s="6">
        <v>11</v>
      </c>
      <c r="J3" s="14" t="s">
        <v>86</v>
      </c>
      <c r="K3" s="13" t="s">
        <v>220</v>
      </c>
      <c r="L3" s="14">
        <f t="shared" ref="L3:L10" si="0">I3*25/1000</f>
        <v>0.27500000000000002</v>
      </c>
      <c r="M3" s="14" t="s">
        <v>87</v>
      </c>
      <c r="N3" s="13"/>
      <c r="O3" s="6">
        <v>1.6</v>
      </c>
      <c r="P3" s="14" t="s">
        <v>88</v>
      </c>
      <c r="Q3" s="13" t="s">
        <v>220</v>
      </c>
      <c r="R3" s="14">
        <f t="shared" ref="R3:R10" si="1">O3*298/1000</f>
        <v>0.4768</v>
      </c>
      <c r="S3" s="14" t="s">
        <v>87</v>
      </c>
      <c r="U3" s="6" t="s">
        <v>95</v>
      </c>
      <c r="V3" s="6">
        <v>98300</v>
      </c>
      <c r="W3" s="6">
        <v>300</v>
      </c>
      <c r="X3" s="6">
        <v>1.5</v>
      </c>
      <c r="Y3" s="6" t="s">
        <v>288</v>
      </c>
      <c r="AA3" s="6">
        <f>V3/'Fuel Conversion Factors'!$D$3/1000</f>
        <v>0.35387999999997166</v>
      </c>
      <c r="AB3" s="6">
        <f>W3/'Fuel Conversion Factors'!$D$3/1000</f>
        <v>1.0799999999999137E-3</v>
      </c>
      <c r="AC3" s="6">
        <f>X3/'Fuel Conversion Factors'!$D$3/1000</f>
        <v>5.399999999999568E-6</v>
      </c>
      <c r="AD3" s="6" t="s">
        <v>294</v>
      </c>
    </row>
    <row r="4" spans="2:30" x14ac:dyDescent="0.2">
      <c r="B4" s="6" t="s">
        <v>96</v>
      </c>
      <c r="C4" s="14">
        <v>205.7</v>
      </c>
      <c r="D4" s="14" t="s">
        <v>84</v>
      </c>
      <c r="E4" s="25" t="s">
        <v>218</v>
      </c>
      <c r="F4" s="14">
        <f>C4/2.20462</f>
        <v>93.304061470911094</v>
      </c>
      <c r="G4" s="13" t="s">
        <v>85</v>
      </c>
      <c r="H4" s="13"/>
      <c r="I4" s="6">
        <v>11</v>
      </c>
      <c r="J4" s="14" t="s">
        <v>86</v>
      </c>
      <c r="K4" s="13" t="s">
        <v>220</v>
      </c>
      <c r="L4" s="14">
        <f t="shared" si="0"/>
        <v>0.27500000000000002</v>
      </c>
      <c r="M4" s="14" t="s">
        <v>87</v>
      </c>
      <c r="N4" s="13"/>
      <c r="O4" s="6">
        <v>1.6</v>
      </c>
      <c r="P4" s="14" t="s">
        <v>88</v>
      </c>
      <c r="Q4" s="13" t="s">
        <v>220</v>
      </c>
      <c r="R4" s="14">
        <f t="shared" si="1"/>
        <v>0.4768</v>
      </c>
      <c r="S4" s="14" t="s">
        <v>87</v>
      </c>
      <c r="U4" s="6" t="s">
        <v>96</v>
      </c>
      <c r="V4" s="6">
        <v>94600</v>
      </c>
      <c r="W4" s="6">
        <v>300</v>
      </c>
      <c r="X4" s="6">
        <v>1.5</v>
      </c>
      <c r="Y4" s="6" t="s">
        <v>288</v>
      </c>
      <c r="AA4" s="6">
        <f>V4/'Fuel Conversion Factors'!$D$3/1000</f>
        <v>0.34055999999997277</v>
      </c>
      <c r="AB4" s="6">
        <f>W4/'Fuel Conversion Factors'!$D$3/1000</f>
        <v>1.0799999999999137E-3</v>
      </c>
      <c r="AC4" s="6">
        <f>X4/'Fuel Conversion Factors'!$D$3/1000</f>
        <v>5.399999999999568E-6</v>
      </c>
      <c r="AD4" s="6" t="s">
        <v>294</v>
      </c>
    </row>
    <row r="5" spans="2:30" x14ac:dyDescent="0.2">
      <c r="B5" s="6" t="s">
        <v>97</v>
      </c>
      <c r="C5" s="14">
        <v>251.6</v>
      </c>
      <c r="D5" s="14" t="s">
        <v>84</v>
      </c>
      <c r="E5" s="25" t="s">
        <v>223</v>
      </c>
      <c r="F5" s="14">
        <f>C5/2.20462</f>
        <v>114.12397601400696</v>
      </c>
      <c r="G5" s="13" t="s">
        <v>85</v>
      </c>
      <c r="H5" s="13"/>
      <c r="I5" s="6">
        <v>11</v>
      </c>
      <c r="J5" s="14" t="s">
        <v>86</v>
      </c>
      <c r="K5" s="13" t="s">
        <v>220</v>
      </c>
      <c r="L5" s="14">
        <f t="shared" si="0"/>
        <v>0.27500000000000002</v>
      </c>
      <c r="M5" s="14" t="s">
        <v>87</v>
      </c>
      <c r="N5" s="13"/>
      <c r="O5" s="6">
        <v>1.6</v>
      </c>
      <c r="P5" s="14" t="s">
        <v>88</v>
      </c>
      <c r="Q5" s="13" t="s">
        <v>220</v>
      </c>
      <c r="R5" s="14">
        <f t="shared" si="1"/>
        <v>0.4768</v>
      </c>
      <c r="S5" s="14" t="s">
        <v>87</v>
      </c>
      <c r="U5" s="6" t="s">
        <v>97</v>
      </c>
      <c r="V5" s="6">
        <v>107000</v>
      </c>
      <c r="W5" s="6">
        <v>300</v>
      </c>
      <c r="X5" s="6">
        <v>1.5</v>
      </c>
      <c r="Y5" s="6" t="s">
        <v>288</v>
      </c>
      <c r="AA5" s="6">
        <f>V5/'Fuel Conversion Factors'!$D$3/1000</f>
        <v>0.38519999999996918</v>
      </c>
      <c r="AB5" s="6">
        <f>W5/'Fuel Conversion Factors'!$D$3/1000</f>
        <v>1.0799999999999137E-3</v>
      </c>
      <c r="AC5" s="6">
        <f>X5/'Fuel Conversion Factors'!$D$3/1000</f>
        <v>5.399999999999568E-6</v>
      </c>
      <c r="AD5" s="6" t="s">
        <v>294</v>
      </c>
    </row>
    <row r="6" spans="2:30" x14ac:dyDescent="0.2">
      <c r="B6" s="6" t="s">
        <v>92</v>
      </c>
      <c r="C6" s="14">
        <v>73.150000000000006</v>
      </c>
      <c r="D6" s="14" t="s">
        <v>85</v>
      </c>
      <c r="E6" s="25" t="s">
        <v>222</v>
      </c>
      <c r="F6" s="14">
        <f>C6</f>
        <v>73.150000000000006</v>
      </c>
      <c r="G6" s="13" t="s">
        <v>85</v>
      </c>
      <c r="H6" s="13"/>
      <c r="I6" s="6">
        <v>3</v>
      </c>
      <c r="J6" s="14" t="s">
        <v>86</v>
      </c>
      <c r="K6" s="13" t="s">
        <v>216</v>
      </c>
      <c r="L6" s="14">
        <f t="shared" si="0"/>
        <v>7.4999999999999997E-2</v>
      </c>
      <c r="M6" s="14" t="s">
        <v>87</v>
      </c>
      <c r="N6" s="13"/>
      <c r="O6" s="6">
        <v>0.6</v>
      </c>
      <c r="P6" s="14" t="s">
        <v>88</v>
      </c>
      <c r="Q6" s="13" t="s">
        <v>216</v>
      </c>
      <c r="R6" s="14">
        <f t="shared" si="1"/>
        <v>0.17879999999999999</v>
      </c>
      <c r="S6" s="14" t="s">
        <v>87</v>
      </c>
      <c r="U6" s="6" t="s">
        <v>92</v>
      </c>
      <c r="V6" s="6">
        <v>74100</v>
      </c>
      <c r="W6" s="6">
        <v>10</v>
      </c>
      <c r="X6" s="6">
        <v>0.6</v>
      </c>
      <c r="Y6" s="6" t="s">
        <v>288</v>
      </c>
      <c r="AA6" s="6">
        <f>V6/'Fuel Conversion Factors'!$D$3/1000</f>
        <v>0.26675999999997868</v>
      </c>
      <c r="AB6" s="6">
        <f>W6/'Fuel Conversion Factors'!$D$3/1000</f>
        <v>3.5999999999997121E-5</v>
      </c>
      <c r="AC6" s="6">
        <f>X6/'Fuel Conversion Factors'!$D$3/1000</f>
        <v>2.1599999999998269E-6</v>
      </c>
      <c r="AD6" s="6" t="s">
        <v>294</v>
      </c>
    </row>
    <row r="7" spans="2:30" x14ac:dyDescent="0.2">
      <c r="B7" s="6" t="s">
        <v>90</v>
      </c>
      <c r="C7" s="13">
        <v>139</v>
      </c>
      <c r="D7" s="13" t="s">
        <v>84</v>
      </c>
      <c r="E7" s="24" t="s">
        <v>218</v>
      </c>
      <c r="F7" s="13">
        <f>C7/2.20462</f>
        <v>63.049414411553926</v>
      </c>
      <c r="G7" s="13" t="s">
        <v>85</v>
      </c>
      <c r="H7" s="13"/>
      <c r="I7" s="6">
        <v>3</v>
      </c>
      <c r="J7" s="13" t="s">
        <v>86</v>
      </c>
      <c r="K7" s="13" t="s">
        <v>220</v>
      </c>
      <c r="L7" s="13">
        <f t="shared" si="0"/>
        <v>7.4999999999999997E-2</v>
      </c>
      <c r="M7" s="13" t="s">
        <v>87</v>
      </c>
      <c r="N7" s="13"/>
      <c r="O7" s="6">
        <v>0.6</v>
      </c>
      <c r="P7" s="13" t="s">
        <v>88</v>
      </c>
      <c r="Q7" s="13" t="s">
        <v>220</v>
      </c>
      <c r="R7" s="13">
        <f t="shared" si="1"/>
        <v>0.17879999999999999</v>
      </c>
      <c r="S7" s="13" t="s">
        <v>87</v>
      </c>
      <c r="U7" s="6" t="s">
        <v>90</v>
      </c>
      <c r="V7" s="6" t="s">
        <v>289</v>
      </c>
      <c r="W7" s="6"/>
      <c r="X7" s="6"/>
      <c r="Y7" s="6"/>
      <c r="AA7" s="6">
        <f>C89</f>
        <v>0.21513358336906047</v>
      </c>
      <c r="AB7" s="6">
        <f t="shared" ref="AB7:AC7" si="2">D89</f>
        <v>1.0236427350369022E-5</v>
      </c>
      <c r="AC7" s="6">
        <f t="shared" si="2"/>
        <v>2.0472854700738044E-6</v>
      </c>
      <c r="AD7" s="6" t="s">
        <v>294</v>
      </c>
    </row>
    <row r="8" spans="2:30" x14ac:dyDescent="0.2">
      <c r="B8" s="6" t="s">
        <v>98</v>
      </c>
      <c r="C8" s="14">
        <v>93.8</v>
      </c>
      <c r="D8" s="14" t="s">
        <v>85</v>
      </c>
      <c r="E8" s="25" t="s">
        <v>220</v>
      </c>
      <c r="F8" s="14">
        <f>C8</f>
        <v>93.8</v>
      </c>
      <c r="G8" s="13" t="s">
        <v>85</v>
      </c>
      <c r="H8" s="13"/>
      <c r="I8" s="6">
        <v>7.2</v>
      </c>
      <c r="J8" s="14" t="s">
        <v>86</v>
      </c>
      <c r="K8" s="13" t="s">
        <v>220</v>
      </c>
      <c r="L8" s="14">
        <f t="shared" si="0"/>
        <v>0.18</v>
      </c>
      <c r="M8" s="14" t="s">
        <v>87</v>
      </c>
      <c r="N8" s="13"/>
      <c r="O8" s="6">
        <v>3.6</v>
      </c>
      <c r="P8" s="14" t="s">
        <v>88</v>
      </c>
      <c r="Q8" s="13" t="s">
        <v>220</v>
      </c>
      <c r="R8" s="14">
        <f t="shared" si="1"/>
        <v>1.0728</v>
      </c>
      <c r="S8" s="14" t="s">
        <v>87</v>
      </c>
      <c r="U8" s="6" t="s">
        <v>98</v>
      </c>
      <c r="V8" s="6">
        <v>112000</v>
      </c>
      <c r="W8" s="6">
        <v>300</v>
      </c>
      <c r="X8" s="6">
        <v>4</v>
      </c>
      <c r="Y8" s="6" t="s">
        <v>288</v>
      </c>
      <c r="AA8" s="6">
        <f>V8/'Fuel Conversion Factors'!$D$3/1000</f>
        <v>0.40319999999996775</v>
      </c>
      <c r="AB8" s="6">
        <f>W8/'Fuel Conversion Factors'!$D$3/1000</f>
        <v>1.0799999999999137E-3</v>
      </c>
      <c r="AC8" s="6">
        <f>X8/'Fuel Conversion Factors'!$D$3/1000</f>
        <v>1.4399999999998847E-5</v>
      </c>
      <c r="AD8" s="6" t="s">
        <v>294</v>
      </c>
    </row>
    <row r="9" spans="2:30" x14ac:dyDescent="0.2">
      <c r="B9" s="6" t="s">
        <v>101</v>
      </c>
      <c r="C9" s="14">
        <f>53.02/0.8</f>
        <v>66.275000000000006</v>
      </c>
      <c r="D9" s="14" t="s">
        <v>85</v>
      </c>
      <c r="E9" s="25" t="s">
        <v>225</v>
      </c>
      <c r="F9" s="14">
        <f t="shared" ref="F9:F19" si="3">C9</f>
        <v>66.275000000000006</v>
      </c>
      <c r="G9" s="13" t="s">
        <v>85</v>
      </c>
      <c r="H9" s="13"/>
      <c r="I9" s="6">
        <f>1/0.8</f>
        <v>1.25</v>
      </c>
      <c r="J9" s="14" t="s">
        <v>86</v>
      </c>
      <c r="K9" s="13" t="s">
        <v>225</v>
      </c>
      <c r="L9" s="14">
        <f t="shared" si="0"/>
        <v>3.125E-2</v>
      </c>
      <c r="M9" s="14" t="s">
        <v>87</v>
      </c>
      <c r="N9" s="13"/>
      <c r="O9" s="6">
        <f>0.1/0.8</f>
        <v>0.125</v>
      </c>
      <c r="P9" s="14" t="s">
        <v>88</v>
      </c>
      <c r="Q9" s="13" t="s">
        <v>225</v>
      </c>
      <c r="R9" s="14">
        <f t="shared" si="1"/>
        <v>3.7249999999999998E-2</v>
      </c>
      <c r="S9" s="14" t="s">
        <v>87</v>
      </c>
      <c r="U9" s="6" t="s">
        <v>101</v>
      </c>
      <c r="V9" s="6">
        <v>70125</v>
      </c>
      <c r="W9" s="6">
        <v>6.25</v>
      </c>
      <c r="X9" s="6">
        <v>0.125</v>
      </c>
      <c r="Y9" s="6" t="s">
        <v>288</v>
      </c>
      <c r="AA9" s="6">
        <f>V9/'Fuel Conversion Factors'!$D$3/1000</f>
        <v>0.2524499999999798</v>
      </c>
      <c r="AB9" s="6">
        <f>W9/'Fuel Conversion Factors'!$D$3/1000</f>
        <v>2.2499999999998199E-5</v>
      </c>
      <c r="AC9" s="6">
        <f>X9/'Fuel Conversion Factors'!$D$3/1000</f>
        <v>4.4999999999996398E-7</v>
      </c>
      <c r="AD9" s="6" t="s">
        <v>294</v>
      </c>
    </row>
    <row r="10" spans="2:30" x14ac:dyDescent="0.2">
      <c r="B10" s="6" t="s">
        <v>102</v>
      </c>
      <c r="C10" s="14">
        <f>53.02/0.8</f>
        <v>66.275000000000006</v>
      </c>
      <c r="D10" s="14" t="s">
        <v>85</v>
      </c>
      <c r="E10" s="25" t="s">
        <v>225</v>
      </c>
      <c r="F10" s="14">
        <f t="shared" si="3"/>
        <v>66.275000000000006</v>
      </c>
      <c r="G10" s="13" t="s">
        <v>85</v>
      </c>
      <c r="H10" s="13"/>
      <c r="I10" s="6">
        <f>1/0.8</f>
        <v>1.25</v>
      </c>
      <c r="J10" s="14" t="s">
        <v>86</v>
      </c>
      <c r="K10" s="13" t="s">
        <v>225</v>
      </c>
      <c r="L10" s="14">
        <f t="shared" si="0"/>
        <v>3.125E-2</v>
      </c>
      <c r="M10" s="14" t="s">
        <v>87</v>
      </c>
      <c r="N10" s="13"/>
      <c r="O10" s="6">
        <f>0.1/0.8</f>
        <v>0.125</v>
      </c>
      <c r="P10" s="14" t="s">
        <v>88</v>
      </c>
      <c r="Q10" s="13" t="s">
        <v>225</v>
      </c>
      <c r="R10" s="14">
        <f t="shared" si="1"/>
        <v>3.7249999999999998E-2</v>
      </c>
      <c r="S10" s="14" t="s">
        <v>87</v>
      </c>
      <c r="U10" s="6" t="s">
        <v>102</v>
      </c>
      <c r="V10" s="6">
        <v>70125</v>
      </c>
      <c r="W10" s="6">
        <v>6.25</v>
      </c>
      <c r="X10" s="6">
        <v>0.125</v>
      </c>
      <c r="Y10" s="6" t="s">
        <v>288</v>
      </c>
      <c r="AA10" s="6">
        <f>V10/'Fuel Conversion Factors'!$D$3/1000</f>
        <v>0.2524499999999798</v>
      </c>
      <c r="AB10" s="6">
        <f>W10/'Fuel Conversion Factors'!$D$3/1000</f>
        <v>2.2499999999998199E-5</v>
      </c>
      <c r="AC10" s="6">
        <f>X10/'Fuel Conversion Factors'!$D$3/1000</f>
        <v>4.4999999999996398E-7</v>
      </c>
      <c r="AD10" s="6" t="s">
        <v>294</v>
      </c>
    </row>
    <row r="11" spans="2:30" x14ac:dyDescent="0.2">
      <c r="B11" s="6" t="s">
        <v>103</v>
      </c>
      <c r="C11" s="6" t="s">
        <v>291</v>
      </c>
      <c r="D11" s="14"/>
      <c r="E11" s="25" t="s">
        <v>225</v>
      </c>
      <c r="F11" s="14"/>
      <c r="G11" s="13" t="s">
        <v>85</v>
      </c>
      <c r="H11" s="13"/>
      <c r="I11" s="6" t="s">
        <v>291</v>
      </c>
      <c r="J11" s="14"/>
      <c r="K11" s="13" t="s">
        <v>225</v>
      </c>
      <c r="L11" s="14"/>
      <c r="M11" s="14"/>
      <c r="N11" s="13"/>
      <c r="O11" s="6" t="s">
        <v>291</v>
      </c>
      <c r="P11" s="14"/>
      <c r="Q11" s="13" t="s">
        <v>225</v>
      </c>
      <c r="R11" s="14"/>
      <c r="S11" s="14"/>
      <c r="U11" s="6" t="s">
        <v>103</v>
      </c>
      <c r="V11" s="6"/>
      <c r="W11" s="6"/>
      <c r="X11" s="6"/>
      <c r="Y11" s="6"/>
      <c r="AA11" s="6"/>
      <c r="AB11" s="6"/>
      <c r="AC11" s="6"/>
      <c r="AD11" s="6" t="s">
        <v>294</v>
      </c>
    </row>
    <row r="12" spans="2:30" x14ac:dyDescent="0.2">
      <c r="B12" s="6" t="s">
        <v>104</v>
      </c>
      <c r="C12" s="14">
        <f>F20/0.8*1.11</f>
        <v>73.635138935508166</v>
      </c>
      <c r="D12" s="14" t="s">
        <v>85</v>
      </c>
      <c r="E12" s="25" t="s">
        <v>225</v>
      </c>
      <c r="F12" s="14">
        <f t="shared" si="3"/>
        <v>73.635138935508166</v>
      </c>
      <c r="G12" s="13" t="s">
        <v>85</v>
      </c>
      <c r="H12" s="13"/>
      <c r="I12" s="6">
        <f>1/0.8*1.11</f>
        <v>1.3875000000000002</v>
      </c>
      <c r="J12" s="14" t="s">
        <v>86</v>
      </c>
      <c r="K12" s="13" t="s">
        <v>225</v>
      </c>
      <c r="L12" s="14">
        <f>I12*25/1000</f>
        <v>3.468750000000001E-2</v>
      </c>
      <c r="M12" s="14" t="s">
        <v>87</v>
      </c>
      <c r="N12" s="13"/>
      <c r="O12" s="6">
        <f>0.1/0.88*1.11</f>
        <v>0.12613636363636366</v>
      </c>
      <c r="P12" s="14" t="s">
        <v>88</v>
      </c>
      <c r="Q12" s="13" t="s">
        <v>225</v>
      </c>
      <c r="R12" s="14">
        <f>O12*298/1000</f>
        <v>3.7588636363636366E-2</v>
      </c>
      <c r="S12" s="14" t="s">
        <v>87</v>
      </c>
      <c r="U12" s="6" t="s">
        <v>104</v>
      </c>
      <c r="V12" s="6">
        <v>77838.75</v>
      </c>
      <c r="W12" s="6">
        <v>1.3875000000000002</v>
      </c>
      <c r="X12" s="6">
        <v>0.12613636363636366</v>
      </c>
      <c r="Y12" s="6" t="s">
        <v>288</v>
      </c>
      <c r="AA12" s="6">
        <f>V12/'Fuel Conversion Factors'!$D$3/1000</f>
        <v>0.28021949999997758</v>
      </c>
      <c r="AB12" s="6">
        <f>W12/'Fuel Conversion Factors'!$D$3/1000</f>
        <v>4.9949999999996015E-6</v>
      </c>
      <c r="AC12" s="6">
        <f>X12/'Fuel Conversion Factors'!$D$3/1000</f>
        <v>4.5409090909087284E-7</v>
      </c>
      <c r="AD12" s="6" t="s">
        <v>294</v>
      </c>
    </row>
    <row r="13" spans="2:30" x14ac:dyDescent="0.2">
      <c r="B13" s="6" t="s">
        <v>105</v>
      </c>
      <c r="C13" s="14">
        <f>F20/1.2*1.11</f>
        <v>49.090092623672113</v>
      </c>
      <c r="D13" s="14" t="s">
        <v>85</v>
      </c>
      <c r="E13" s="25" t="s">
        <v>225</v>
      </c>
      <c r="F13" s="14">
        <f t="shared" si="3"/>
        <v>49.090092623672113</v>
      </c>
      <c r="G13" s="13" t="s">
        <v>85</v>
      </c>
      <c r="H13" s="13"/>
      <c r="I13" s="6">
        <f>1/1.2*1.11</f>
        <v>0.92500000000000016</v>
      </c>
      <c r="J13" s="14" t="s">
        <v>86</v>
      </c>
      <c r="K13" s="13" t="s">
        <v>225</v>
      </c>
      <c r="L13" s="14">
        <f>I13*25/1000</f>
        <v>2.3125000000000003E-2</v>
      </c>
      <c r="M13" s="14" t="s">
        <v>87</v>
      </c>
      <c r="N13" s="13"/>
      <c r="O13" s="6">
        <f>0.1/1.2*1.11</f>
        <v>9.2500000000000013E-2</v>
      </c>
      <c r="P13" s="14" t="s">
        <v>88</v>
      </c>
      <c r="Q13" s="13" t="s">
        <v>225</v>
      </c>
      <c r="R13" s="14">
        <f>O13*298/1000</f>
        <v>2.7565000000000006E-2</v>
      </c>
      <c r="S13" s="14" t="s">
        <v>87</v>
      </c>
      <c r="U13" s="6" t="s">
        <v>105</v>
      </c>
      <c r="V13" s="6">
        <v>51892.500000000007</v>
      </c>
      <c r="W13" s="6">
        <v>0.92500000000000016</v>
      </c>
      <c r="X13" s="6">
        <v>9.2500000000000013E-2</v>
      </c>
      <c r="Y13" s="6" t="s">
        <v>288</v>
      </c>
      <c r="AA13" s="6">
        <f>V13/'Fuel Conversion Factors'!$D$3/1000</f>
        <v>0.1868129999999851</v>
      </c>
      <c r="AB13" s="6">
        <f>W13/'Fuel Conversion Factors'!$D$3/1000</f>
        <v>3.3299999999997343E-6</v>
      </c>
      <c r="AC13" s="6">
        <f>X13/'Fuel Conversion Factors'!$D$3/1000</f>
        <v>3.329999999999734E-7</v>
      </c>
      <c r="AD13" s="6" t="s">
        <v>294</v>
      </c>
    </row>
    <row r="14" spans="2:30" x14ac:dyDescent="0.2">
      <c r="B14" s="6" t="s">
        <v>183</v>
      </c>
      <c r="C14" s="14"/>
      <c r="D14" s="14"/>
      <c r="E14" s="25"/>
      <c r="F14" s="14"/>
      <c r="G14" s="13"/>
      <c r="H14" s="13"/>
      <c r="I14" s="6"/>
      <c r="J14" s="14"/>
      <c r="K14" s="13"/>
      <c r="L14" s="14"/>
      <c r="M14" s="14"/>
      <c r="N14" s="13"/>
      <c r="O14" s="6"/>
      <c r="P14" s="14"/>
      <c r="Q14" s="13"/>
      <c r="R14" s="14"/>
      <c r="S14" s="14"/>
      <c r="U14" s="6" t="s">
        <v>183</v>
      </c>
      <c r="V14" s="6"/>
      <c r="W14" s="6"/>
      <c r="X14" s="6"/>
      <c r="Y14" s="6"/>
      <c r="AA14" s="6"/>
      <c r="AB14" s="6"/>
      <c r="AC14" s="6"/>
      <c r="AD14" s="6" t="s">
        <v>294</v>
      </c>
    </row>
    <row r="15" spans="2:30" x14ac:dyDescent="0.2">
      <c r="B15" s="6" t="s">
        <v>100</v>
      </c>
      <c r="C15" s="14">
        <v>73.25</v>
      </c>
      <c r="D15" s="14" t="s">
        <v>85</v>
      </c>
      <c r="E15" s="25" t="s">
        <v>220</v>
      </c>
      <c r="F15" s="14">
        <f t="shared" si="3"/>
        <v>73.25</v>
      </c>
      <c r="G15" s="13" t="s">
        <v>85</v>
      </c>
      <c r="H15" s="13"/>
      <c r="I15" s="6">
        <v>3</v>
      </c>
      <c r="J15" s="14" t="s">
        <v>86</v>
      </c>
      <c r="K15" s="13" t="s">
        <v>220</v>
      </c>
      <c r="L15" s="14">
        <f t="shared" ref="L15:L20" si="4">I15*25/1000</f>
        <v>7.4999999999999997E-2</v>
      </c>
      <c r="M15" s="14" t="s">
        <v>87</v>
      </c>
      <c r="N15" s="13"/>
      <c r="O15" s="6">
        <v>0.6</v>
      </c>
      <c r="P15" s="14" t="s">
        <v>88</v>
      </c>
      <c r="Q15" s="13" t="s">
        <v>220</v>
      </c>
      <c r="R15" s="14">
        <f t="shared" ref="R15:R20" si="5">O15*298/1000</f>
        <v>0.17879999999999999</v>
      </c>
      <c r="S15" s="14" t="s">
        <v>87</v>
      </c>
      <c r="U15" s="6" t="s">
        <v>100</v>
      </c>
      <c r="V15" s="6">
        <v>74100</v>
      </c>
      <c r="W15" s="6">
        <v>10</v>
      </c>
      <c r="X15" s="6">
        <v>0.6</v>
      </c>
      <c r="Y15" s="6" t="s">
        <v>288</v>
      </c>
      <c r="AA15" s="6">
        <f>V15/'Fuel Conversion Factors'!$D$3/1000</f>
        <v>0.26675999999997868</v>
      </c>
      <c r="AB15" s="6">
        <f>W15/'Fuel Conversion Factors'!$D$3/1000</f>
        <v>3.5999999999997121E-5</v>
      </c>
      <c r="AC15" s="6">
        <f>X15/'Fuel Conversion Factors'!$D$3/1000</f>
        <v>2.1599999999998269E-6</v>
      </c>
      <c r="AD15" s="6" t="s">
        <v>294</v>
      </c>
    </row>
    <row r="16" spans="2:30" x14ac:dyDescent="0.2">
      <c r="B16" s="6" t="s">
        <v>91</v>
      </c>
      <c r="C16" s="13">
        <v>73.959999999999994</v>
      </c>
      <c r="D16" s="13" t="s">
        <v>85</v>
      </c>
      <c r="E16" s="24" t="s">
        <v>220</v>
      </c>
      <c r="F16" s="14">
        <f t="shared" si="3"/>
        <v>73.959999999999994</v>
      </c>
      <c r="G16" s="13" t="s">
        <v>85</v>
      </c>
      <c r="H16" s="13"/>
      <c r="I16" s="6">
        <v>3</v>
      </c>
      <c r="J16" s="13" t="s">
        <v>86</v>
      </c>
      <c r="K16" s="13" t="s">
        <v>220</v>
      </c>
      <c r="L16" s="13">
        <f t="shared" si="4"/>
        <v>7.4999999999999997E-2</v>
      </c>
      <c r="M16" s="13" t="s">
        <v>87</v>
      </c>
      <c r="N16" s="13"/>
      <c r="O16" s="6">
        <v>0.6</v>
      </c>
      <c r="P16" s="14" t="s">
        <v>88</v>
      </c>
      <c r="Q16" s="13" t="s">
        <v>220</v>
      </c>
      <c r="R16" s="14">
        <f t="shared" si="5"/>
        <v>0.17879999999999999</v>
      </c>
      <c r="S16" s="14" t="s">
        <v>87</v>
      </c>
      <c r="U16" s="6" t="s">
        <v>91</v>
      </c>
      <c r="V16" s="6">
        <v>74100</v>
      </c>
      <c r="W16" s="6">
        <v>10</v>
      </c>
      <c r="X16" s="6">
        <v>0.6</v>
      </c>
      <c r="Y16" s="6" t="s">
        <v>288</v>
      </c>
      <c r="AA16" s="6">
        <f>V16/'Fuel Conversion Factors'!$D$3/1000</f>
        <v>0.26675999999997868</v>
      </c>
      <c r="AB16" s="6">
        <f>W16/'Fuel Conversion Factors'!$D$3/1000</f>
        <v>3.5999999999997121E-5</v>
      </c>
      <c r="AC16" s="6">
        <f>X16/'Fuel Conversion Factors'!$D$3/1000</f>
        <v>2.1599999999998269E-6</v>
      </c>
      <c r="AD16" s="6" t="s">
        <v>294</v>
      </c>
    </row>
    <row r="17" spans="2:30" x14ac:dyDescent="0.2">
      <c r="B17" s="6" t="s">
        <v>93</v>
      </c>
      <c r="C17" s="14">
        <v>75.040000000000006</v>
      </c>
      <c r="D17" s="14" t="s">
        <v>85</v>
      </c>
      <c r="E17" s="25" t="s">
        <v>220</v>
      </c>
      <c r="F17" s="14">
        <f t="shared" si="3"/>
        <v>75.040000000000006</v>
      </c>
      <c r="G17" s="13" t="s">
        <v>85</v>
      </c>
      <c r="H17" s="13"/>
      <c r="I17" s="6">
        <v>3</v>
      </c>
      <c r="J17" s="14" t="s">
        <v>86</v>
      </c>
      <c r="K17" s="13" t="s">
        <v>220</v>
      </c>
      <c r="L17" s="14">
        <f t="shared" si="4"/>
        <v>7.4999999999999997E-2</v>
      </c>
      <c r="M17" s="14" t="s">
        <v>87</v>
      </c>
      <c r="N17" s="13"/>
      <c r="O17" s="6">
        <v>0.6</v>
      </c>
      <c r="P17" s="14" t="s">
        <v>88</v>
      </c>
      <c r="Q17" s="13" t="s">
        <v>220</v>
      </c>
      <c r="R17" s="14">
        <f t="shared" si="5"/>
        <v>0.17879999999999999</v>
      </c>
      <c r="S17" s="14" t="s">
        <v>87</v>
      </c>
      <c r="U17" s="6" t="s">
        <v>93</v>
      </c>
      <c r="V17" s="6">
        <v>74100</v>
      </c>
      <c r="W17" s="6">
        <v>10</v>
      </c>
      <c r="X17" s="6">
        <v>0.6</v>
      </c>
      <c r="Y17" s="6" t="s">
        <v>288</v>
      </c>
      <c r="AA17" s="6">
        <f>V17/'Fuel Conversion Factors'!$D$3/1000</f>
        <v>0.26675999999997868</v>
      </c>
      <c r="AB17" s="6">
        <f>W17/'Fuel Conversion Factors'!$D$3/1000</f>
        <v>3.5999999999997121E-5</v>
      </c>
      <c r="AC17" s="6">
        <f>X17/'Fuel Conversion Factors'!$D$3/1000</f>
        <v>2.1599999999998269E-6</v>
      </c>
      <c r="AD17" s="6" t="s">
        <v>294</v>
      </c>
    </row>
    <row r="18" spans="2:30" x14ac:dyDescent="0.2">
      <c r="B18" s="6" t="s">
        <v>94</v>
      </c>
      <c r="C18" s="14">
        <f>AVERAGE(72.93,75.1)</f>
        <v>74.015000000000001</v>
      </c>
      <c r="D18" s="14" t="s">
        <v>85</v>
      </c>
      <c r="E18" s="25" t="s">
        <v>220</v>
      </c>
      <c r="F18" s="14">
        <f t="shared" si="3"/>
        <v>74.015000000000001</v>
      </c>
      <c r="G18" s="13" t="s">
        <v>85</v>
      </c>
      <c r="H18" s="13"/>
      <c r="I18" s="6">
        <v>3</v>
      </c>
      <c r="J18" s="14" t="s">
        <v>86</v>
      </c>
      <c r="K18" s="13" t="s">
        <v>220</v>
      </c>
      <c r="L18" s="14">
        <f t="shared" si="4"/>
        <v>7.4999999999999997E-2</v>
      </c>
      <c r="M18" s="14" t="s">
        <v>87</v>
      </c>
      <c r="N18" s="13"/>
      <c r="O18" s="6">
        <v>0.6</v>
      </c>
      <c r="P18" s="14" t="s">
        <v>88</v>
      </c>
      <c r="Q18" s="13" t="s">
        <v>220</v>
      </c>
      <c r="R18" s="14">
        <f t="shared" si="5"/>
        <v>0.17879999999999999</v>
      </c>
      <c r="S18" s="14" t="s">
        <v>87</v>
      </c>
      <c r="U18" s="6" t="s">
        <v>94</v>
      </c>
      <c r="V18" s="6">
        <v>77400</v>
      </c>
      <c r="W18" s="6">
        <v>10</v>
      </c>
      <c r="X18" s="6">
        <v>0.6</v>
      </c>
      <c r="Y18" s="6" t="s">
        <v>288</v>
      </c>
      <c r="AA18" s="6">
        <f>V18/'Fuel Conversion Factors'!$D$3/1000</f>
        <v>0.27863999999997768</v>
      </c>
      <c r="AB18" s="6">
        <f>W18/'Fuel Conversion Factors'!$D$3/1000</f>
        <v>3.5999999999997121E-5</v>
      </c>
      <c r="AC18" s="6">
        <f>X18/'Fuel Conversion Factors'!$D$3/1000</f>
        <v>2.1599999999998269E-6</v>
      </c>
      <c r="AD18" s="6" t="s">
        <v>294</v>
      </c>
    </row>
    <row r="19" spans="2:30" x14ac:dyDescent="0.2">
      <c r="B19" s="6" t="s">
        <v>99</v>
      </c>
      <c r="C19" s="14">
        <v>75.2</v>
      </c>
      <c r="D19" s="14" t="s">
        <v>85</v>
      </c>
      <c r="E19" s="25" t="s">
        <v>220</v>
      </c>
      <c r="F19" s="14">
        <f t="shared" si="3"/>
        <v>75.2</v>
      </c>
      <c r="G19" s="13" t="s">
        <v>85</v>
      </c>
      <c r="H19" s="13"/>
      <c r="I19" s="6">
        <v>3</v>
      </c>
      <c r="J19" s="14" t="s">
        <v>86</v>
      </c>
      <c r="K19" s="13" t="s">
        <v>220</v>
      </c>
      <c r="L19" s="14">
        <f t="shared" si="4"/>
        <v>7.4999999999999997E-2</v>
      </c>
      <c r="M19" s="14" t="s">
        <v>87</v>
      </c>
      <c r="N19" s="13"/>
      <c r="O19" s="6">
        <v>0.6</v>
      </c>
      <c r="P19" s="14" t="s">
        <v>88</v>
      </c>
      <c r="Q19" s="13" t="s">
        <v>220</v>
      </c>
      <c r="R19" s="14">
        <f t="shared" si="5"/>
        <v>0.17879999999999999</v>
      </c>
      <c r="S19" s="14" t="s">
        <v>87</v>
      </c>
      <c r="U19" s="6" t="s">
        <v>99</v>
      </c>
      <c r="V19" s="6">
        <v>71900</v>
      </c>
      <c r="W19" s="6">
        <v>10</v>
      </c>
      <c r="X19" s="6">
        <v>0.6</v>
      </c>
      <c r="Y19" s="6" t="s">
        <v>288</v>
      </c>
      <c r="AA19" s="6">
        <f>V19/'Fuel Conversion Factors'!$D$3/1000</f>
        <v>0.25883999999997931</v>
      </c>
      <c r="AB19" s="6">
        <f>W19/'Fuel Conversion Factors'!$D$3/1000</f>
        <v>3.5999999999997121E-5</v>
      </c>
      <c r="AC19" s="6">
        <f>X19/'Fuel Conversion Factors'!$D$3/1000</f>
        <v>2.1599999999998269E-6</v>
      </c>
      <c r="AD19" s="6" t="s">
        <v>294</v>
      </c>
    </row>
    <row r="20" spans="2:30" x14ac:dyDescent="0.2">
      <c r="B20" s="6" t="s">
        <v>89</v>
      </c>
      <c r="C20" s="13">
        <v>117</v>
      </c>
      <c r="D20" s="13" t="s">
        <v>84</v>
      </c>
      <c r="E20" s="24" t="s">
        <v>218</v>
      </c>
      <c r="F20" s="13">
        <f>C20/2.20462</f>
        <v>53.070370403969847</v>
      </c>
      <c r="G20" s="13" t="s">
        <v>85</v>
      </c>
      <c r="H20" s="13"/>
      <c r="I20" s="6">
        <v>1</v>
      </c>
      <c r="J20" s="13" t="s">
        <v>86</v>
      </c>
      <c r="K20" s="13" t="s">
        <v>220</v>
      </c>
      <c r="L20" s="13">
        <f t="shared" si="4"/>
        <v>2.5000000000000001E-2</v>
      </c>
      <c r="M20" s="13" t="s">
        <v>87</v>
      </c>
      <c r="N20" s="13"/>
      <c r="O20" s="6">
        <v>0.1</v>
      </c>
      <c r="P20" s="13" t="s">
        <v>88</v>
      </c>
      <c r="Q20" s="13" t="s">
        <v>220</v>
      </c>
      <c r="R20" s="13">
        <f t="shared" si="5"/>
        <v>2.98E-2</v>
      </c>
      <c r="S20" s="13" t="s">
        <v>87</v>
      </c>
      <c r="U20" s="6" t="s">
        <v>89</v>
      </c>
      <c r="V20" s="6">
        <v>56100</v>
      </c>
      <c r="W20" s="6">
        <v>5</v>
      </c>
      <c r="X20" s="6">
        <v>0.1</v>
      </c>
      <c r="Y20" s="6" t="s">
        <v>288</v>
      </c>
      <c r="AA20" s="6">
        <f>V20/'Fuel Conversion Factors'!$D$3/1000</f>
        <v>0.20195999999998385</v>
      </c>
      <c r="AB20" s="6">
        <f>W20/'Fuel Conversion Factors'!$D$3/1000</f>
        <v>1.7999999999998561E-5</v>
      </c>
      <c r="AC20" s="6">
        <f>X20/'Fuel Conversion Factors'!$D$3/1000</f>
        <v>3.5999999999997125E-7</v>
      </c>
      <c r="AD20" s="6" t="s">
        <v>294</v>
      </c>
    </row>
    <row r="21" spans="2:30" x14ac:dyDescent="0.2">
      <c r="C21" s="19"/>
      <c r="D21" s="20"/>
      <c r="E21" s="21"/>
      <c r="I21" s="22"/>
      <c r="J21" s="20"/>
      <c r="K21" s="21"/>
      <c r="L21" s="22"/>
      <c r="M21" s="20"/>
      <c r="O21" s="22"/>
      <c r="P21" s="20"/>
      <c r="Q21" s="22"/>
      <c r="R21" s="22"/>
      <c r="S21" s="20"/>
    </row>
    <row r="22" spans="2:30" x14ac:dyDescent="0.2">
      <c r="B22" t="s">
        <v>219</v>
      </c>
      <c r="C22" s="19"/>
      <c r="D22" s="20"/>
      <c r="E22" s="21"/>
      <c r="I22" s="22"/>
      <c r="J22" t="s">
        <v>233</v>
      </c>
      <c r="K22"/>
      <c r="L22" s="22"/>
      <c r="M22" s="20"/>
      <c r="O22" s="22"/>
      <c r="P22" t="s">
        <v>233</v>
      </c>
      <c r="R22" s="22"/>
      <c r="S22" s="20"/>
      <c r="U22" t="s">
        <v>292</v>
      </c>
    </row>
    <row r="23" spans="2:30" x14ac:dyDescent="0.2">
      <c r="B23" t="s">
        <v>221</v>
      </c>
      <c r="C23" s="19"/>
      <c r="D23" s="20"/>
      <c r="E23" s="21"/>
      <c r="I23" s="22"/>
      <c r="J23" t="s">
        <v>228</v>
      </c>
      <c r="K23" t="s">
        <v>229</v>
      </c>
      <c r="L23" s="22"/>
      <c r="M23" s="20"/>
      <c r="O23" s="22"/>
      <c r="P23" t="s">
        <v>231</v>
      </c>
      <c r="Q23" t="s">
        <v>230</v>
      </c>
      <c r="R23" s="22"/>
      <c r="S23" s="20"/>
    </row>
    <row r="24" spans="2:30" ht="255" x14ac:dyDescent="0.2">
      <c r="B24" t="s">
        <v>226</v>
      </c>
      <c r="C24" s="19"/>
      <c r="D24" s="20"/>
      <c r="E24" s="21"/>
      <c r="I24" s="22"/>
      <c r="J24" s="26" t="s">
        <v>232</v>
      </c>
      <c r="K24"/>
      <c r="L24" s="22"/>
      <c r="M24" s="20"/>
      <c r="O24" s="22"/>
      <c r="P24" s="26" t="s">
        <v>232</v>
      </c>
      <c r="Q24" s="22"/>
      <c r="R24" s="22"/>
      <c r="S24" s="20"/>
    </row>
    <row r="25" spans="2:30" x14ac:dyDescent="0.2">
      <c r="B25" t="s">
        <v>224</v>
      </c>
      <c r="C25" s="19"/>
      <c r="D25" s="20"/>
      <c r="E25" s="21"/>
      <c r="I25" s="22"/>
      <c r="K25"/>
      <c r="L25" s="22"/>
      <c r="M25" s="20"/>
      <c r="O25" s="22"/>
      <c r="P25" s="20"/>
      <c r="Q25" s="22"/>
      <c r="R25" s="22"/>
      <c r="S25" s="20"/>
    </row>
    <row r="26" spans="2:30" x14ac:dyDescent="0.2">
      <c r="B26" t="s">
        <v>227</v>
      </c>
      <c r="C26" s="19"/>
      <c r="D26" s="20"/>
      <c r="E26" s="21"/>
      <c r="I26" s="22"/>
      <c r="J26" s="8"/>
      <c r="K26"/>
      <c r="L26" s="22"/>
      <c r="M26" s="20"/>
      <c r="O26" s="22"/>
      <c r="P26" s="20"/>
      <c r="Q26" s="22"/>
      <c r="R26" s="22"/>
      <c r="S26" s="20"/>
    </row>
    <row r="27" spans="2:30" x14ac:dyDescent="0.2">
      <c r="C27" s="19"/>
      <c r="D27" s="20"/>
      <c r="E27" s="21"/>
      <c r="I27" s="22"/>
      <c r="J27" s="20"/>
      <c r="K27" s="21"/>
      <c r="L27" s="22"/>
      <c r="M27" s="20"/>
      <c r="O27" s="22"/>
      <c r="P27" s="20"/>
      <c r="Q27" s="22"/>
      <c r="R27" s="22"/>
      <c r="S27" s="20"/>
    </row>
    <row r="28" spans="2:30" x14ac:dyDescent="0.2">
      <c r="B28" s="9" t="s">
        <v>175</v>
      </c>
      <c r="J28" s="9" t="s">
        <v>176</v>
      </c>
    </row>
    <row r="29" spans="2:30" x14ac:dyDescent="0.2">
      <c r="B29" s="11" t="s">
        <v>177</v>
      </c>
      <c r="C29" s="12" t="s">
        <v>0</v>
      </c>
      <c r="D29" s="12" t="s">
        <v>1</v>
      </c>
      <c r="E29" s="12" t="s">
        <v>2</v>
      </c>
      <c r="F29" s="12" t="s">
        <v>83</v>
      </c>
      <c r="G29" s="12" t="s">
        <v>178</v>
      </c>
      <c r="H29" s="12" t="s">
        <v>179</v>
      </c>
      <c r="J29" s="11" t="s">
        <v>177</v>
      </c>
      <c r="K29" s="12" t="s">
        <v>0</v>
      </c>
      <c r="L29" s="12" t="s">
        <v>1</v>
      </c>
      <c r="M29" s="12" t="s">
        <v>2</v>
      </c>
      <c r="N29" s="12" t="s">
        <v>83</v>
      </c>
      <c r="O29" s="12" t="s">
        <v>178</v>
      </c>
      <c r="P29" s="12" t="s">
        <v>179</v>
      </c>
    </row>
    <row r="30" spans="2:30" x14ac:dyDescent="0.2">
      <c r="B30" s="6" t="s">
        <v>180</v>
      </c>
      <c r="C30" s="13"/>
      <c r="D30" s="13"/>
      <c r="E30" s="13"/>
      <c r="F30" s="13"/>
      <c r="G30" s="13"/>
      <c r="H30" s="13"/>
      <c r="J30" s="6" t="s">
        <v>180</v>
      </c>
      <c r="K30" s="13"/>
      <c r="L30" s="13"/>
      <c r="M30" s="13"/>
      <c r="N30" s="13"/>
      <c r="O30" s="13"/>
      <c r="P30" s="13"/>
    </row>
    <row r="31" spans="2:30" x14ac:dyDescent="0.2">
      <c r="B31" s="6" t="s">
        <v>181</v>
      </c>
      <c r="C31" s="13">
        <v>0</v>
      </c>
      <c r="D31" s="13">
        <v>0</v>
      </c>
      <c r="E31" s="13">
        <v>0</v>
      </c>
      <c r="F31" s="13">
        <v>0</v>
      </c>
      <c r="G31" s="13"/>
      <c r="H31" s="13"/>
      <c r="J31" s="6" t="s">
        <v>181</v>
      </c>
      <c r="K31" s="13">
        <v>0</v>
      </c>
      <c r="L31" s="13">
        <v>0</v>
      </c>
      <c r="M31" s="13">
        <v>0</v>
      </c>
      <c r="N31" s="13">
        <v>0</v>
      </c>
      <c r="O31" s="13"/>
      <c r="P31" s="13"/>
    </row>
    <row r="32" spans="2:30" x14ac:dyDescent="0.2">
      <c r="B32" s="6" t="s">
        <v>182</v>
      </c>
      <c r="C32" s="13">
        <v>0</v>
      </c>
      <c r="D32" s="13">
        <v>0</v>
      </c>
      <c r="E32" s="13">
        <v>0</v>
      </c>
      <c r="F32" s="13">
        <v>0</v>
      </c>
      <c r="G32" s="13"/>
      <c r="H32" s="13"/>
      <c r="J32" s="6" t="s">
        <v>182</v>
      </c>
      <c r="K32" s="13">
        <v>0</v>
      </c>
      <c r="L32" s="13">
        <v>0</v>
      </c>
      <c r="M32" s="13">
        <v>0</v>
      </c>
      <c r="N32" s="13">
        <v>0</v>
      </c>
      <c r="O32" s="13"/>
      <c r="P32" s="13"/>
    </row>
    <row r="33" spans="2:16" x14ac:dyDescent="0.2">
      <c r="B33" s="6" t="s">
        <v>95</v>
      </c>
      <c r="C33" s="14">
        <f t="shared" ref="C33:C40" si="6">F3</f>
        <v>103.69133909698725</v>
      </c>
      <c r="D33" s="14">
        <f t="shared" ref="D33:D40" si="7">L3</f>
        <v>0.27500000000000002</v>
      </c>
      <c r="E33" s="14">
        <f>R3</f>
        <v>0.4768</v>
      </c>
      <c r="F33" s="14">
        <f>SUM(C33:E33)</f>
        <v>104.44313909698725</v>
      </c>
      <c r="G33" s="13"/>
      <c r="H33" s="13"/>
      <c r="J33" s="6" t="s">
        <v>95</v>
      </c>
      <c r="K33" s="15">
        <f>K59/3.412*1000</f>
        <v>103.71629542789321</v>
      </c>
      <c r="L33" s="15">
        <f t="shared" ref="L33:N33" si="8">L59/3.412*1000</f>
        <v>7.9132473622502468</v>
      </c>
      <c r="M33" s="15">
        <f t="shared" si="8"/>
        <v>0.47162954279011471</v>
      </c>
      <c r="N33" s="15">
        <f t="shared" si="8"/>
        <v>112.10117233293359</v>
      </c>
      <c r="O33" s="13"/>
      <c r="P33" s="13"/>
    </row>
    <row r="34" spans="2:16" x14ac:dyDescent="0.2">
      <c r="B34" s="6" t="s">
        <v>96</v>
      </c>
      <c r="C34" s="14">
        <f t="shared" si="6"/>
        <v>93.304061470911094</v>
      </c>
      <c r="D34" s="14">
        <f t="shared" si="7"/>
        <v>0.27500000000000002</v>
      </c>
      <c r="E34" s="14">
        <f t="shared" ref="E34:E37" si="9">R4</f>
        <v>0.4768</v>
      </c>
      <c r="F34" s="14">
        <f t="shared" ref="F34:F50" si="10">SUM(C34:E34)</f>
        <v>94.055861470911097</v>
      </c>
      <c r="G34" s="13"/>
      <c r="H34" s="13"/>
      <c r="J34" s="6" t="s">
        <v>96</v>
      </c>
      <c r="K34" s="15">
        <f t="shared" ref="K34:N36" si="11">K60/3.412*1000</f>
        <v>99.812426729183116</v>
      </c>
      <c r="L34" s="15">
        <f t="shared" si="11"/>
        <v>7.9132473622502468</v>
      </c>
      <c r="M34" s="15">
        <f t="shared" si="11"/>
        <v>0.47162954279011471</v>
      </c>
      <c r="N34" s="15">
        <f t="shared" si="11"/>
        <v>108.19730363422347</v>
      </c>
      <c r="O34" s="13"/>
      <c r="P34" s="13"/>
    </row>
    <row r="35" spans="2:16" x14ac:dyDescent="0.2">
      <c r="B35" s="6" t="s">
        <v>97</v>
      </c>
      <c r="C35" s="14">
        <f t="shared" si="6"/>
        <v>114.12397601400696</v>
      </c>
      <c r="D35" s="14">
        <f t="shared" si="7"/>
        <v>0.27500000000000002</v>
      </c>
      <c r="E35" s="14">
        <f t="shared" si="9"/>
        <v>0.4768</v>
      </c>
      <c r="F35" s="14">
        <f t="shared" si="10"/>
        <v>114.87577601400696</v>
      </c>
      <c r="G35" s="13"/>
      <c r="H35" s="13"/>
      <c r="J35" s="6" t="s">
        <v>97</v>
      </c>
      <c r="K35" s="15">
        <f t="shared" si="11"/>
        <v>112.89566236810352</v>
      </c>
      <c r="L35" s="15">
        <f t="shared" si="11"/>
        <v>7.9132473622502468</v>
      </c>
      <c r="M35" s="15">
        <f t="shared" si="11"/>
        <v>0.47162954279011471</v>
      </c>
      <c r="N35" s="15">
        <f t="shared" si="11"/>
        <v>121.28053927314387</v>
      </c>
      <c r="O35" s="13"/>
      <c r="P35" s="13"/>
    </row>
    <row r="36" spans="2:16" x14ac:dyDescent="0.2">
      <c r="B36" s="6" t="s">
        <v>92</v>
      </c>
      <c r="C36" s="14">
        <f t="shared" si="6"/>
        <v>73.150000000000006</v>
      </c>
      <c r="D36" s="14">
        <f t="shared" si="7"/>
        <v>7.4999999999999997E-2</v>
      </c>
      <c r="E36" s="14">
        <f>R6</f>
        <v>0.17879999999999999</v>
      </c>
      <c r="F36" s="14">
        <f t="shared" si="10"/>
        <v>73.403800000000004</v>
      </c>
      <c r="G36" s="13"/>
      <c r="H36" s="13"/>
      <c r="J36" s="6" t="s">
        <v>92</v>
      </c>
      <c r="K36" s="15">
        <f t="shared" si="11"/>
        <v>78.18288393903245</v>
      </c>
      <c r="L36" s="15">
        <f t="shared" si="11"/>
        <v>0.26377491207500825</v>
      </c>
      <c r="M36" s="15">
        <f t="shared" si="11"/>
        <v>0.18865181711604584</v>
      </c>
      <c r="N36" s="15">
        <f t="shared" si="11"/>
        <v>78.635310668223482</v>
      </c>
      <c r="O36" s="13"/>
      <c r="P36" s="13"/>
    </row>
    <row r="37" spans="2:16" x14ac:dyDescent="0.2">
      <c r="B37" s="6" t="s">
        <v>90</v>
      </c>
      <c r="C37" s="14">
        <f t="shared" si="6"/>
        <v>63.049414411553926</v>
      </c>
      <c r="D37" s="14">
        <f t="shared" si="7"/>
        <v>7.4999999999999997E-2</v>
      </c>
      <c r="E37" s="14">
        <f t="shared" si="9"/>
        <v>0.17879999999999999</v>
      </c>
      <c r="F37" s="14">
        <f t="shared" si="10"/>
        <v>63.303214411553931</v>
      </c>
      <c r="G37" s="13"/>
      <c r="H37" s="13"/>
      <c r="J37" s="6" t="s">
        <v>90</v>
      </c>
      <c r="K37" s="15"/>
      <c r="L37" s="15"/>
      <c r="M37" s="15"/>
      <c r="N37" s="15"/>
      <c r="O37" s="13"/>
      <c r="P37" s="13"/>
    </row>
    <row r="38" spans="2:16" x14ac:dyDescent="0.2">
      <c r="B38" s="6" t="s">
        <v>98</v>
      </c>
      <c r="C38" s="14">
        <f t="shared" si="6"/>
        <v>93.8</v>
      </c>
      <c r="D38" s="14">
        <f t="shared" si="7"/>
        <v>0.18</v>
      </c>
      <c r="E38" s="14">
        <f>R8</f>
        <v>1.0728</v>
      </c>
      <c r="F38" s="14">
        <f t="shared" si="10"/>
        <v>95.052800000000005</v>
      </c>
      <c r="G38" s="13"/>
      <c r="H38" s="13"/>
      <c r="J38" s="6" t="s">
        <v>98</v>
      </c>
      <c r="K38" s="15">
        <f t="shared" ref="K38:N40" si="12">K64/3.412*1000</f>
        <v>118.17116060960369</v>
      </c>
      <c r="L38" s="15">
        <f t="shared" si="12"/>
        <v>7.9132473622502468</v>
      </c>
      <c r="M38" s="15">
        <f t="shared" si="12"/>
        <v>1.2576787807736391</v>
      </c>
      <c r="N38" s="15">
        <f t="shared" si="12"/>
        <v>127.34208675262757</v>
      </c>
      <c r="O38" s="13"/>
      <c r="P38" s="13"/>
    </row>
    <row r="39" spans="2:16" x14ac:dyDescent="0.2">
      <c r="B39" s="6" t="s">
        <v>101</v>
      </c>
      <c r="C39" s="14">
        <f t="shared" si="6"/>
        <v>66.275000000000006</v>
      </c>
      <c r="D39" s="14">
        <f t="shared" si="7"/>
        <v>3.125E-2</v>
      </c>
      <c r="E39" s="14">
        <f>R9</f>
        <v>3.7249999999999998E-2</v>
      </c>
      <c r="F39" s="14">
        <f t="shared" si="10"/>
        <v>66.343500000000006</v>
      </c>
      <c r="G39" s="13"/>
      <c r="H39" s="13"/>
      <c r="J39" s="6" t="s">
        <v>101</v>
      </c>
      <c r="K39" s="15">
        <f t="shared" si="12"/>
        <v>73.988862837039804</v>
      </c>
      <c r="L39" s="15">
        <f t="shared" si="12"/>
        <v>0.16485932004688011</v>
      </c>
      <c r="M39" s="15">
        <f t="shared" si="12"/>
        <v>3.9302461899176223E-2</v>
      </c>
      <c r="N39" s="15">
        <f t="shared" si="12"/>
        <v>74.193024618985859</v>
      </c>
      <c r="O39" s="13"/>
      <c r="P39" s="13"/>
    </row>
    <row r="40" spans="2:16" x14ac:dyDescent="0.2">
      <c r="B40" s="6" t="s">
        <v>102</v>
      </c>
      <c r="C40" s="14">
        <f t="shared" si="6"/>
        <v>66.275000000000006</v>
      </c>
      <c r="D40" s="14">
        <f t="shared" si="7"/>
        <v>3.125E-2</v>
      </c>
      <c r="E40" s="14">
        <f>R10</f>
        <v>3.7249999999999998E-2</v>
      </c>
      <c r="F40" s="14">
        <f t="shared" si="10"/>
        <v>66.343500000000006</v>
      </c>
      <c r="G40" s="13"/>
      <c r="H40" s="13"/>
      <c r="J40" s="6" t="s">
        <v>102</v>
      </c>
      <c r="K40" s="15">
        <f t="shared" si="12"/>
        <v>73.988862837039804</v>
      </c>
      <c r="L40" s="15">
        <f t="shared" si="12"/>
        <v>0.16485932004688011</v>
      </c>
      <c r="M40" s="15">
        <f t="shared" si="12"/>
        <v>3.9302461899176223E-2</v>
      </c>
      <c r="N40" s="15">
        <f t="shared" si="12"/>
        <v>74.193024618985859</v>
      </c>
      <c r="O40" s="13"/>
      <c r="P40" s="13"/>
    </row>
    <row r="41" spans="2:16" x14ac:dyDescent="0.2">
      <c r="B41" s="6" t="s">
        <v>103</v>
      </c>
      <c r="C41" s="14"/>
      <c r="D41" s="14"/>
      <c r="E41" s="14"/>
      <c r="F41" s="14"/>
      <c r="G41" s="13"/>
      <c r="H41" s="13"/>
      <c r="J41" s="6" t="s">
        <v>103</v>
      </c>
      <c r="K41" s="15"/>
      <c r="L41" s="15"/>
      <c r="M41" s="15"/>
      <c r="N41" s="15"/>
      <c r="O41" s="13"/>
      <c r="P41" s="13"/>
    </row>
    <row r="42" spans="2:16" x14ac:dyDescent="0.2">
      <c r="B42" s="6" t="s">
        <v>104</v>
      </c>
      <c r="C42" s="14">
        <f>F12</f>
        <v>73.635138935508166</v>
      </c>
      <c r="D42" s="14">
        <f>L12</f>
        <v>3.468750000000001E-2</v>
      </c>
      <c r="E42" s="14">
        <f>R12</f>
        <v>3.7588636363636366E-2</v>
      </c>
      <c r="F42" s="14">
        <f t="shared" si="10"/>
        <v>73.707415071871807</v>
      </c>
      <c r="G42" s="13"/>
      <c r="H42" s="13"/>
      <c r="J42" s="6" t="s">
        <v>104</v>
      </c>
      <c r="K42" s="15">
        <f t="shared" ref="K42:N43" si="13">K68/3.412*1000</f>
        <v>82.127637749114172</v>
      </c>
      <c r="L42" s="15">
        <f t="shared" si="13"/>
        <v>3.6598769050407397E-2</v>
      </c>
      <c r="M42" s="15">
        <f t="shared" si="13"/>
        <v>3.9659757007350555E-2</v>
      </c>
      <c r="N42" s="15">
        <f t="shared" si="13"/>
        <v>82.203896275171942</v>
      </c>
      <c r="O42" s="13"/>
      <c r="P42" s="13"/>
    </row>
    <row r="43" spans="2:16" x14ac:dyDescent="0.2">
      <c r="B43" s="6" t="s">
        <v>105</v>
      </c>
      <c r="C43" s="14">
        <f>F13</f>
        <v>49.090092623672113</v>
      </c>
      <c r="D43" s="14">
        <f>L13</f>
        <v>2.3125000000000003E-2</v>
      </c>
      <c r="E43" s="14">
        <f>R13</f>
        <v>2.7565000000000006E-2</v>
      </c>
      <c r="F43" s="14">
        <f t="shared" si="10"/>
        <v>49.140782623672116</v>
      </c>
      <c r="G43" s="13"/>
      <c r="H43" s="13"/>
      <c r="J43" s="6" t="s">
        <v>105</v>
      </c>
      <c r="K43" s="15">
        <f t="shared" si="13"/>
        <v>54.751758499409469</v>
      </c>
      <c r="L43" s="15">
        <f t="shared" si="13"/>
        <v>2.4399179366938265E-2</v>
      </c>
      <c r="M43" s="15">
        <f t="shared" si="13"/>
        <v>2.908382180539041E-2</v>
      </c>
      <c r="N43" s="15">
        <f t="shared" si="13"/>
        <v>54.805241500581801</v>
      </c>
      <c r="O43" s="13"/>
      <c r="P43" s="13"/>
    </row>
    <row r="44" spans="2:16" x14ac:dyDescent="0.2">
      <c r="B44" s="6" t="s">
        <v>183</v>
      </c>
      <c r="C44" s="14"/>
      <c r="D44" s="14"/>
      <c r="E44" s="14"/>
      <c r="F44" s="14"/>
      <c r="G44" s="13"/>
      <c r="H44" s="13"/>
      <c r="J44" s="6" t="s">
        <v>183</v>
      </c>
      <c r="K44" s="15"/>
      <c r="L44" s="15"/>
      <c r="M44" s="15"/>
      <c r="N44" s="15"/>
      <c r="O44" s="13"/>
      <c r="P44" s="13"/>
    </row>
    <row r="45" spans="2:16" x14ac:dyDescent="0.2">
      <c r="B45" s="6" t="s">
        <v>184</v>
      </c>
      <c r="C45" s="14">
        <f>F15</f>
        <v>73.25</v>
      </c>
      <c r="D45" s="14">
        <f>L15</f>
        <v>7.4999999999999997E-2</v>
      </c>
      <c r="E45" s="14">
        <f>R15</f>
        <v>0.17879999999999999</v>
      </c>
      <c r="F45" s="14">
        <f t="shared" si="10"/>
        <v>73.503799999999998</v>
      </c>
      <c r="G45" s="13"/>
      <c r="H45" s="13"/>
      <c r="J45" s="6" t="s">
        <v>184</v>
      </c>
      <c r="K45" s="15">
        <f t="shared" ref="K45:N50" si="14">K71/3.412*1000</f>
        <v>78.18288393903245</v>
      </c>
      <c r="L45" s="15">
        <f t="shared" si="14"/>
        <v>0.26377491207500825</v>
      </c>
      <c r="M45" s="15">
        <f t="shared" si="14"/>
        <v>0.18865181711604584</v>
      </c>
      <c r="N45" s="15">
        <f t="shared" si="14"/>
        <v>78.635310668223482</v>
      </c>
      <c r="O45" s="13"/>
      <c r="P45" s="13"/>
    </row>
    <row r="46" spans="2:16" x14ac:dyDescent="0.2">
      <c r="B46" s="6" t="s">
        <v>91</v>
      </c>
      <c r="C46" s="14">
        <f t="shared" ref="C46:C50" si="15">F16</f>
        <v>73.959999999999994</v>
      </c>
      <c r="D46" s="14">
        <f t="shared" ref="D46:D50" si="16">L16</f>
        <v>7.4999999999999997E-2</v>
      </c>
      <c r="E46" s="14">
        <f t="shared" ref="E46:E49" si="17">R16</f>
        <v>0.17879999999999999</v>
      </c>
      <c r="F46" s="14">
        <f t="shared" si="10"/>
        <v>74.213799999999992</v>
      </c>
      <c r="G46" s="13"/>
      <c r="H46" s="13"/>
      <c r="J46" s="6" t="s">
        <v>91</v>
      </c>
      <c r="K46" s="15">
        <f t="shared" si="14"/>
        <v>78.18288393903245</v>
      </c>
      <c r="L46" s="15">
        <f t="shared" si="14"/>
        <v>0.26377491207500825</v>
      </c>
      <c r="M46" s="15">
        <f t="shared" si="14"/>
        <v>0.18865181711604584</v>
      </c>
      <c r="N46" s="15">
        <f t="shared" si="14"/>
        <v>78.635310668223482</v>
      </c>
      <c r="O46" s="13"/>
      <c r="P46" s="13"/>
    </row>
    <row r="47" spans="2:16" x14ac:dyDescent="0.2">
      <c r="B47" s="6" t="s">
        <v>93</v>
      </c>
      <c r="C47" s="14">
        <f t="shared" si="15"/>
        <v>75.040000000000006</v>
      </c>
      <c r="D47" s="14">
        <f t="shared" si="16"/>
        <v>7.4999999999999997E-2</v>
      </c>
      <c r="E47" s="14">
        <f t="shared" si="17"/>
        <v>0.17879999999999999</v>
      </c>
      <c r="F47" s="14">
        <f t="shared" si="10"/>
        <v>75.293800000000005</v>
      </c>
      <c r="G47" s="13"/>
      <c r="H47" s="13"/>
      <c r="J47" s="6" t="s">
        <v>93</v>
      </c>
      <c r="K47" s="15">
        <f t="shared" si="14"/>
        <v>78.18288393903245</v>
      </c>
      <c r="L47" s="15">
        <f t="shared" si="14"/>
        <v>0.26377491207500825</v>
      </c>
      <c r="M47" s="15">
        <f t="shared" si="14"/>
        <v>0.18865181711604584</v>
      </c>
      <c r="N47" s="15">
        <f t="shared" si="14"/>
        <v>78.635310668223482</v>
      </c>
      <c r="O47" s="13"/>
      <c r="P47" s="13"/>
    </row>
    <row r="48" spans="2:16" x14ac:dyDescent="0.2">
      <c r="B48" s="6" t="s">
        <v>94</v>
      </c>
      <c r="C48" s="14">
        <f t="shared" si="15"/>
        <v>74.015000000000001</v>
      </c>
      <c r="D48" s="14">
        <f t="shared" si="16"/>
        <v>7.4999999999999997E-2</v>
      </c>
      <c r="E48" s="14">
        <f t="shared" si="17"/>
        <v>0.17879999999999999</v>
      </c>
      <c r="F48" s="14">
        <f t="shared" si="10"/>
        <v>74.268799999999999</v>
      </c>
      <c r="G48" s="13"/>
      <c r="H48" s="13"/>
      <c r="J48" s="6" t="s">
        <v>94</v>
      </c>
      <c r="K48" s="15">
        <f t="shared" si="14"/>
        <v>81.66471277842254</v>
      </c>
      <c r="L48" s="15">
        <f t="shared" si="14"/>
        <v>0.26377491207500825</v>
      </c>
      <c r="M48" s="15">
        <f t="shared" si="14"/>
        <v>0.18865181711604584</v>
      </c>
      <c r="N48" s="15">
        <f t="shared" si="14"/>
        <v>82.117139507613572</v>
      </c>
      <c r="O48" s="13"/>
      <c r="P48" s="13"/>
    </row>
    <row r="49" spans="2:16" x14ac:dyDescent="0.2">
      <c r="B49" s="6" t="s">
        <v>99</v>
      </c>
      <c r="C49" s="14">
        <f t="shared" si="15"/>
        <v>75.2</v>
      </c>
      <c r="D49" s="14">
        <f t="shared" si="16"/>
        <v>7.4999999999999997E-2</v>
      </c>
      <c r="E49" s="14">
        <f t="shared" si="17"/>
        <v>0.17879999999999999</v>
      </c>
      <c r="F49" s="14">
        <f t="shared" si="10"/>
        <v>75.453800000000001</v>
      </c>
      <c r="G49" s="13"/>
      <c r="H49" s="13"/>
      <c r="J49" s="6" t="s">
        <v>99</v>
      </c>
      <c r="K49" s="15">
        <f t="shared" si="14"/>
        <v>75.861664712772367</v>
      </c>
      <c r="L49" s="15">
        <f t="shared" si="14"/>
        <v>0.26377491207500825</v>
      </c>
      <c r="M49" s="15">
        <f t="shared" si="14"/>
        <v>0.18865181711604584</v>
      </c>
      <c r="N49" s="15">
        <f t="shared" si="14"/>
        <v>76.314091441963413</v>
      </c>
      <c r="O49" s="13"/>
      <c r="P49" s="13"/>
    </row>
    <row r="50" spans="2:16" x14ac:dyDescent="0.2">
      <c r="B50" s="6" t="s">
        <v>143</v>
      </c>
      <c r="C50" s="14">
        <f t="shared" si="15"/>
        <v>53.070370403969847</v>
      </c>
      <c r="D50" s="14">
        <f t="shared" si="16"/>
        <v>2.5000000000000001E-2</v>
      </c>
      <c r="E50" s="14">
        <f>R20</f>
        <v>2.98E-2</v>
      </c>
      <c r="F50" s="14">
        <f t="shared" si="10"/>
        <v>53.125170403969847</v>
      </c>
      <c r="G50" s="13"/>
      <c r="H50" s="13"/>
      <c r="J50" s="6" t="s">
        <v>143</v>
      </c>
      <c r="K50" s="15">
        <f t="shared" si="14"/>
        <v>59.191090269631843</v>
      </c>
      <c r="L50" s="15">
        <f t="shared" si="14"/>
        <v>0.13188745603750412</v>
      </c>
      <c r="M50" s="15">
        <f t="shared" si="14"/>
        <v>3.144196951934098E-2</v>
      </c>
      <c r="N50" s="15">
        <f t="shared" si="14"/>
        <v>59.354419695188682</v>
      </c>
      <c r="O50" s="13"/>
      <c r="P50" s="13"/>
    </row>
    <row r="52" spans="2:16" x14ac:dyDescent="0.2">
      <c r="B52" s="9" t="s">
        <v>192</v>
      </c>
      <c r="C52" s="18" t="s">
        <v>191</v>
      </c>
      <c r="J52" s="9" t="s">
        <v>185</v>
      </c>
    </row>
    <row r="54" spans="2:16" x14ac:dyDescent="0.2">
      <c r="B54" s="9" t="s">
        <v>175</v>
      </c>
      <c r="J54" s="9" t="s">
        <v>176</v>
      </c>
    </row>
    <row r="55" spans="2:16" x14ac:dyDescent="0.2">
      <c r="B55" s="11" t="s">
        <v>177</v>
      </c>
      <c r="C55" s="12" t="s">
        <v>0</v>
      </c>
      <c r="D55" s="12" t="s">
        <v>1</v>
      </c>
      <c r="E55" s="12" t="s">
        <v>2</v>
      </c>
      <c r="F55" s="12" t="s">
        <v>295</v>
      </c>
      <c r="G55" s="12" t="s">
        <v>178</v>
      </c>
      <c r="H55" s="12" t="s">
        <v>179</v>
      </c>
      <c r="J55" s="11" t="s">
        <v>177</v>
      </c>
      <c r="K55" s="12" t="s">
        <v>0</v>
      </c>
      <c r="L55" s="12" t="s">
        <v>1</v>
      </c>
      <c r="M55" s="12" t="s">
        <v>2</v>
      </c>
      <c r="N55" s="12" t="s">
        <v>295</v>
      </c>
      <c r="O55" s="12" t="s">
        <v>178</v>
      </c>
      <c r="P55" s="12" t="s">
        <v>179</v>
      </c>
    </row>
    <row r="56" spans="2:16" x14ac:dyDescent="0.2">
      <c r="B56" s="6" t="s">
        <v>180</v>
      </c>
      <c r="C56" s="13"/>
      <c r="D56" s="13"/>
      <c r="E56" s="13"/>
      <c r="F56" s="13"/>
      <c r="G56" s="13"/>
      <c r="H56" s="13"/>
      <c r="J56" s="6" t="s">
        <v>180</v>
      </c>
      <c r="K56" s="13"/>
      <c r="L56" s="13"/>
      <c r="M56" s="13"/>
      <c r="N56" s="13"/>
      <c r="O56" s="13"/>
      <c r="P56" s="13"/>
    </row>
    <row r="57" spans="2:16" x14ac:dyDescent="0.2">
      <c r="B57" s="6" t="s">
        <v>181</v>
      </c>
      <c r="C57" s="13">
        <v>0</v>
      </c>
      <c r="D57" s="13">
        <v>0</v>
      </c>
      <c r="E57" s="13">
        <v>0</v>
      </c>
      <c r="F57" s="13">
        <v>0</v>
      </c>
      <c r="G57" s="13"/>
      <c r="H57" s="13"/>
      <c r="J57" s="6" t="s">
        <v>181</v>
      </c>
      <c r="K57" s="13">
        <v>0</v>
      </c>
      <c r="L57" s="13">
        <v>0</v>
      </c>
      <c r="M57" s="13">
        <v>0</v>
      </c>
      <c r="N57" s="13">
        <v>0</v>
      </c>
      <c r="O57" s="13"/>
      <c r="P57" s="13"/>
    </row>
    <row r="58" spans="2:16" x14ac:dyDescent="0.2">
      <c r="B58" s="6" t="s">
        <v>182</v>
      </c>
      <c r="C58" s="13">
        <v>0</v>
      </c>
      <c r="D58" s="13">
        <v>0</v>
      </c>
      <c r="E58" s="13">
        <v>0</v>
      </c>
      <c r="F58" s="13">
        <v>0</v>
      </c>
      <c r="G58" s="13"/>
      <c r="H58" s="13"/>
      <c r="J58" s="6" t="s">
        <v>182</v>
      </c>
      <c r="K58" s="13">
        <v>0</v>
      </c>
      <c r="L58" s="13">
        <v>0</v>
      </c>
      <c r="M58" s="13">
        <v>0</v>
      </c>
      <c r="N58" s="13">
        <v>0</v>
      </c>
      <c r="O58" s="13"/>
      <c r="P58" s="13"/>
    </row>
    <row r="59" spans="2:16" x14ac:dyDescent="0.2">
      <c r="B59" s="6" t="s">
        <v>95</v>
      </c>
      <c r="C59" s="16">
        <f>C33/293.071</f>
        <v>0.35380961984292969</v>
      </c>
      <c r="D59" s="16">
        <f t="shared" ref="D59:F59" si="18">D33/293.071</f>
        <v>9.3833917378382712E-4</v>
      </c>
      <c r="E59" s="16">
        <f t="shared" si="18"/>
        <v>1.62690952021865E-3</v>
      </c>
      <c r="F59" s="16">
        <f t="shared" si="18"/>
        <v>0.35637486853693218</v>
      </c>
      <c r="G59" s="13"/>
      <c r="H59" s="13"/>
      <c r="J59" s="6" t="s">
        <v>95</v>
      </c>
      <c r="K59" s="16">
        <f>K85</f>
        <v>0.35387999999997166</v>
      </c>
      <c r="L59" s="13">
        <f>L85*25</f>
        <v>2.6999999999997842E-2</v>
      </c>
      <c r="M59" s="13">
        <f>M85*298</f>
        <v>1.6091999999998713E-3</v>
      </c>
      <c r="N59" s="16">
        <f>SUM(K59:M59)</f>
        <v>0.38248919999996939</v>
      </c>
      <c r="O59" s="13"/>
      <c r="P59" s="13"/>
    </row>
    <row r="60" spans="2:16" x14ac:dyDescent="0.2">
      <c r="B60" s="6" t="s">
        <v>96</v>
      </c>
      <c r="C60" s="16">
        <f t="shared" ref="C60:F66" si="19">C34/293.071</f>
        <v>0.31836674891378225</v>
      </c>
      <c r="D60" s="16">
        <f t="shared" si="19"/>
        <v>9.3833917378382712E-4</v>
      </c>
      <c r="E60" s="16">
        <f t="shared" si="19"/>
        <v>1.62690952021865E-3</v>
      </c>
      <c r="F60" s="16">
        <f t="shared" si="19"/>
        <v>0.32093199760778479</v>
      </c>
      <c r="G60" s="13"/>
      <c r="H60" s="13"/>
      <c r="J60" s="6" t="s">
        <v>96</v>
      </c>
      <c r="K60" s="16">
        <f t="shared" ref="K60:K76" si="20">K86</f>
        <v>0.34055999999997277</v>
      </c>
      <c r="L60" s="13">
        <f t="shared" ref="L60:L76" si="21">L86*25</f>
        <v>2.6999999999997842E-2</v>
      </c>
      <c r="M60" s="13">
        <f t="shared" ref="M60:M76" si="22">M86*298</f>
        <v>1.6091999999998713E-3</v>
      </c>
      <c r="N60" s="16">
        <f t="shared" ref="N60:N66" si="23">SUM(K60:M60)</f>
        <v>0.3691691999999705</v>
      </c>
      <c r="O60" s="13"/>
      <c r="P60" s="13"/>
    </row>
    <row r="61" spans="2:16" x14ac:dyDescent="0.2">
      <c r="B61" s="6" t="s">
        <v>97</v>
      </c>
      <c r="C61" s="16">
        <f t="shared" si="19"/>
        <v>0.38940726313421303</v>
      </c>
      <c r="D61" s="16">
        <f t="shared" si="19"/>
        <v>9.3833917378382712E-4</v>
      </c>
      <c r="E61" s="16">
        <f t="shared" si="19"/>
        <v>1.62690952021865E-3</v>
      </c>
      <c r="F61" s="16">
        <f t="shared" si="19"/>
        <v>0.39197251182821552</v>
      </c>
      <c r="G61" s="13"/>
      <c r="H61" s="13"/>
      <c r="J61" s="6" t="s">
        <v>97</v>
      </c>
      <c r="K61" s="16">
        <f t="shared" si="20"/>
        <v>0.38519999999996918</v>
      </c>
      <c r="L61" s="13">
        <f t="shared" si="21"/>
        <v>2.6999999999997842E-2</v>
      </c>
      <c r="M61" s="13">
        <f t="shared" si="22"/>
        <v>1.6091999999998713E-3</v>
      </c>
      <c r="N61" s="16">
        <f t="shared" si="23"/>
        <v>0.4138091999999669</v>
      </c>
      <c r="O61" s="13"/>
      <c r="P61" s="13"/>
    </row>
    <row r="62" spans="2:16" x14ac:dyDescent="0.2">
      <c r="B62" s="6" t="s">
        <v>92</v>
      </c>
      <c r="C62" s="16">
        <f t="shared" si="19"/>
        <v>0.24959822022649802</v>
      </c>
      <c r="D62" s="16">
        <f t="shared" si="19"/>
        <v>2.5591068375922554E-4</v>
      </c>
      <c r="E62" s="16">
        <f t="shared" si="19"/>
        <v>6.100910700819937E-4</v>
      </c>
      <c r="F62" s="16">
        <f t="shared" si="19"/>
        <v>0.25046422198033924</v>
      </c>
      <c r="G62" s="13"/>
      <c r="H62" s="13"/>
      <c r="J62" s="6" t="s">
        <v>92</v>
      </c>
      <c r="K62" s="16">
        <f t="shared" si="20"/>
        <v>0.26675999999997868</v>
      </c>
      <c r="L62" s="13">
        <f t="shared" si="21"/>
        <v>8.9999999999992798E-4</v>
      </c>
      <c r="M62" s="13">
        <f t="shared" si="22"/>
        <v>6.4367999999994838E-4</v>
      </c>
      <c r="N62" s="16">
        <f t="shared" si="23"/>
        <v>0.26830367999997851</v>
      </c>
      <c r="O62" s="13"/>
      <c r="P62" s="13"/>
    </row>
    <row r="63" spans="2:16" x14ac:dyDescent="0.2">
      <c r="B63" s="6" t="s">
        <v>90</v>
      </c>
      <c r="C63" s="16">
        <f t="shared" si="19"/>
        <v>0.21513358336906047</v>
      </c>
      <c r="D63" s="16">
        <f t="shared" si="19"/>
        <v>2.5591068375922554E-4</v>
      </c>
      <c r="E63" s="16">
        <f t="shared" si="19"/>
        <v>6.100910700819937E-4</v>
      </c>
      <c r="F63" s="16">
        <f t="shared" si="19"/>
        <v>0.21599958512290171</v>
      </c>
      <c r="G63" s="13"/>
      <c r="H63" s="13"/>
      <c r="J63" s="6" t="s">
        <v>90</v>
      </c>
      <c r="K63" s="16">
        <f t="shared" si="20"/>
        <v>0.21513358336906047</v>
      </c>
      <c r="L63" s="13">
        <f t="shared" si="21"/>
        <v>2.5591068375922554E-4</v>
      </c>
      <c r="M63" s="13">
        <f t="shared" si="22"/>
        <v>6.100910700819937E-4</v>
      </c>
      <c r="N63" s="16">
        <f t="shared" si="23"/>
        <v>0.21599958512290168</v>
      </c>
      <c r="O63" s="13"/>
      <c r="P63" s="13"/>
    </row>
    <row r="64" spans="2:16" x14ac:dyDescent="0.2">
      <c r="B64" s="6" t="s">
        <v>98</v>
      </c>
      <c r="C64" s="16">
        <f t="shared" si="19"/>
        <v>0.32005896182153809</v>
      </c>
      <c r="D64" s="16">
        <f t="shared" si="19"/>
        <v>6.1418564102214135E-4</v>
      </c>
      <c r="E64" s="16">
        <f t="shared" si="19"/>
        <v>3.6605464204919622E-3</v>
      </c>
      <c r="F64" s="16">
        <f t="shared" si="19"/>
        <v>0.32433369388305222</v>
      </c>
      <c r="G64" s="13"/>
      <c r="H64" s="13"/>
      <c r="J64" s="6" t="s">
        <v>98</v>
      </c>
      <c r="K64" s="16">
        <f t="shared" si="20"/>
        <v>0.40319999999996775</v>
      </c>
      <c r="L64" s="13">
        <f t="shared" si="21"/>
        <v>2.6999999999997842E-2</v>
      </c>
      <c r="M64" s="13">
        <f t="shared" si="22"/>
        <v>4.2911999999996567E-3</v>
      </c>
      <c r="N64" s="16">
        <f t="shared" si="23"/>
        <v>0.43449119999996527</v>
      </c>
      <c r="O64" s="13"/>
      <c r="P64" s="13"/>
    </row>
    <row r="65" spans="2:16" x14ac:dyDescent="0.2">
      <c r="B65" s="6" t="s">
        <v>101</v>
      </c>
      <c r="C65" s="16">
        <f t="shared" si="19"/>
        <v>0.22613974088190233</v>
      </c>
      <c r="D65" s="16">
        <f t="shared" si="19"/>
        <v>1.0662945156634398E-4</v>
      </c>
      <c r="E65" s="16">
        <f t="shared" si="19"/>
        <v>1.2710230626708201E-4</v>
      </c>
      <c r="F65" s="16">
        <f t="shared" si="19"/>
        <v>0.22637347263973576</v>
      </c>
      <c r="G65" s="13"/>
      <c r="H65" s="13"/>
      <c r="J65" s="6" t="s">
        <v>101</v>
      </c>
      <c r="K65" s="16">
        <f t="shared" si="20"/>
        <v>0.2524499999999798</v>
      </c>
      <c r="L65" s="13">
        <f t="shared" si="21"/>
        <v>5.6249999999995496E-4</v>
      </c>
      <c r="M65" s="13">
        <f t="shared" si="22"/>
        <v>1.3409999999998927E-4</v>
      </c>
      <c r="N65" s="16">
        <f t="shared" si="23"/>
        <v>0.25314659999997974</v>
      </c>
      <c r="O65" s="13"/>
      <c r="P65" s="13"/>
    </row>
    <row r="66" spans="2:16" x14ac:dyDescent="0.2">
      <c r="B66" s="6" t="s">
        <v>102</v>
      </c>
      <c r="C66" s="16">
        <f t="shared" si="19"/>
        <v>0.22613974088190233</v>
      </c>
      <c r="D66" s="16">
        <f t="shared" si="19"/>
        <v>1.0662945156634398E-4</v>
      </c>
      <c r="E66" s="16">
        <f t="shared" si="19"/>
        <v>1.2710230626708201E-4</v>
      </c>
      <c r="F66" s="16">
        <f t="shared" si="19"/>
        <v>0.22637347263973576</v>
      </c>
      <c r="G66" s="13"/>
      <c r="H66" s="13"/>
      <c r="J66" s="6" t="s">
        <v>102</v>
      </c>
      <c r="K66" s="16">
        <f t="shared" si="20"/>
        <v>0.2524499999999798</v>
      </c>
      <c r="L66" s="13">
        <f t="shared" si="21"/>
        <v>5.6249999999995496E-4</v>
      </c>
      <c r="M66" s="13">
        <f t="shared" si="22"/>
        <v>1.3409999999998927E-4</v>
      </c>
      <c r="N66" s="16">
        <f t="shared" si="23"/>
        <v>0.25314659999997974</v>
      </c>
      <c r="O66" s="13"/>
      <c r="P66" s="13"/>
    </row>
    <row r="67" spans="2:16" x14ac:dyDescent="0.2">
      <c r="B67" s="6" t="s">
        <v>103</v>
      </c>
      <c r="C67" s="16"/>
      <c r="D67" s="16"/>
      <c r="E67" s="16"/>
      <c r="F67" s="16"/>
      <c r="G67" s="13"/>
      <c r="H67" s="13"/>
      <c r="J67" s="6" t="s">
        <v>103</v>
      </c>
      <c r="K67" s="17"/>
      <c r="L67" s="13"/>
      <c r="M67" s="13"/>
      <c r="N67" s="17"/>
      <c r="O67" s="13"/>
      <c r="P67" s="13"/>
    </row>
    <row r="68" spans="2:16" x14ac:dyDescent="0.2">
      <c r="B68" s="6" t="s">
        <v>104</v>
      </c>
      <c r="C68" s="16">
        <f t="shared" ref="C68:F76" si="24">C42/293.071</f>
        <v>0.25125358338255288</v>
      </c>
      <c r="D68" s="16">
        <f t="shared" si="24"/>
        <v>1.1835869123864185E-4</v>
      </c>
      <c r="E68" s="16">
        <f t="shared" si="24"/>
        <v>1.2825778177860095E-4</v>
      </c>
      <c r="F68" s="16">
        <f t="shared" si="24"/>
        <v>0.25150019985557015</v>
      </c>
      <c r="G68" s="13"/>
      <c r="H68" s="13"/>
      <c r="J68" s="6" t="s">
        <v>104</v>
      </c>
      <c r="K68" s="16">
        <f t="shared" si="20"/>
        <v>0.28021949999997758</v>
      </c>
      <c r="L68" s="13">
        <f t="shared" si="21"/>
        <v>1.2487499999999004E-4</v>
      </c>
      <c r="M68" s="13">
        <f t="shared" si="22"/>
        <v>1.3531909090908011E-4</v>
      </c>
      <c r="N68" s="16">
        <f t="shared" ref="N68:N69" si="25">SUM(K68:M68)</f>
        <v>0.28047969409088663</v>
      </c>
      <c r="O68" s="13"/>
      <c r="P68" s="13"/>
    </row>
    <row r="69" spans="2:16" x14ac:dyDescent="0.2">
      <c r="B69" s="6" t="s">
        <v>105</v>
      </c>
      <c r="C69" s="16">
        <f t="shared" si="24"/>
        <v>0.16750238892170194</v>
      </c>
      <c r="D69" s="16">
        <f t="shared" si="24"/>
        <v>7.8905794159094556E-5</v>
      </c>
      <c r="E69" s="16">
        <f t="shared" si="24"/>
        <v>9.4055706637640715E-5</v>
      </c>
      <c r="F69" s="16">
        <f t="shared" si="24"/>
        <v>0.16767535042249868</v>
      </c>
      <c r="G69" s="13"/>
      <c r="H69" s="13"/>
      <c r="J69" s="6" t="s">
        <v>105</v>
      </c>
      <c r="K69" s="16">
        <f t="shared" si="20"/>
        <v>0.1868129999999851</v>
      </c>
      <c r="L69" s="13">
        <f t="shared" si="21"/>
        <v>8.3249999999993363E-5</v>
      </c>
      <c r="M69" s="13">
        <f t="shared" si="22"/>
        <v>9.9233999999992077E-5</v>
      </c>
      <c r="N69" s="16">
        <f t="shared" si="25"/>
        <v>0.18699548399998511</v>
      </c>
      <c r="O69" s="13"/>
      <c r="P69" s="13"/>
    </row>
    <row r="70" spans="2:16" x14ac:dyDescent="0.2">
      <c r="B70" s="6" t="s">
        <v>183</v>
      </c>
      <c r="C70" s="16">
        <f t="shared" si="24"/>
        <v>0</v>
      </c>
      <c r="D70" s="16">
        <f t="shared" si="24"/>
        <v>0</v>
      </c>
      <c r="E70" s="16">
        <f t="shared" si="24"/>
        <v>0</v>
      </c>
      <c r="F70" s="16">
        <f t="shared" si="24"/>
        <v>0</v>
      </c>
      <c r="G70" s="13"/>
      <c r="H70" s="13"/>
      <c r="J70" s="6" t="s">
        <v>183</v>
      </c>
      <c r="K70" s="17">
        <v>0</v>
      </c>
      <c r="L70" s="13">
        <v>0</v>
      </c>
      <c r="M70" s="13">
        <v>0</v>
      </c>
      <c r="N70" s="17">
        <v>0</v>
      </c>
      <c r="O70" s="13"/>
      <c r="P70" s="13"/>
    </row>
    <row r="71" spans="2:16" x14ac:dyDescent="0.2">
      <c r="B71" s="6" t="s">
        <v>184</v>
      </c>
      <c r="C71" s="16">
        <f t="shared" si="24"/>
        <v>0.24993943447151029</v>
      </c>
      <c r="D71" s="16">
        <f t="shared" si="24"/>
        <v>2.5591068375922554E-4</v>
      </c>
      <c r="E71" s="16">
        <f t="shared" si="24"/>
        <v>6.100910700819937E-4</v>
      </c>
      <c r="F71" s="16">
        <f t="shared" si="24"/>
        <v>0.25080543622535151</v>
      </c>
      <c r="G71" s="13"/>
      <c r="H71" s="13"/>
      <c r="J71" s="6" t="s">
        <v>184</v>
      </c>
      <c r="K71" s="16">
        <f t="shared" si="20"/>
        <v>0.26675999999997868</v>
      </c>
      <c r="L71" s="13">
        <f t="shared" si="21"/>
        <v>8.9999999999992798E-4</v>
      </c>
      <c r="M71" s="13">
        <f t="shared" si="22"/>
        <v>6.4367999999994838E-4</v>
      </c>
      <c r="N71" s="16">
        <f t="shared" ref="N71:N72" si="26">SUM(K71:M71)</f>
        <v>0.26830367999997851</v>
      </c>
      <c r="O71" s="13"/>
      <c r="P71" s="13"/>
    </row>
    <row r="72" spans="2:16" x14ac:dyDescent="0.2">
      <c r="B72" s="6" t="s">
        <v>91</v>
      </c>
      <c r="C72" s="16">
        <f t="shared" si="24"/>
        <v>0.25236205561109759</v>
      </c>
      <c r="D72" s="16">
        <f t="shared" si="24"/>
        <v>2.5591068375922554E-4</v>
      </c>
      <c r="E72" s="16">
        <f t="shared" si="24"/>
        <v>6.100910700819937E-4</v>
      </c>
      <c r="F72" s="16">
        <f t="shared" si="24"/>
        <v>0.25322805736493881</v>
      </c>
      <c r="G72" s="13"/>
      <c r="H72" s="13"/>
      <c r="J72" s="6" t="s">
        <v>91</v>
      </c>
      <c r="K72" s="16">
        <f t="shared" si="20"/>
        <v>0.26675999999997868</v>
      </c>
      <c r="L72" s="13">
        <f t="shared" si="21"/>
        <v>8.9999999999992798E-4</v>
      </c>
      <c r="M72" s="13">
        <f t="shared" si="22"/>
        <v>6.4367999999994838E-4</v>
      </c>
      <c r="N72" s="16">
        <f t="shared" si="26"/>
        <v>0.26830367999997851</v>
      </c>
      <c r="O72" s="13"/>
      <c r="P72" s="13"/>
    </row>
    <row r="73" spans="2:16" x14ac:dyDescent="0.2">
      <c r="B73" s="6" t="s">
        <v>93</v>
      </c>
      <c r="C73" s="16">
        <f t="shared" si="24"/>
        <v>0.25604716945723049</v>
      </c>
      <c r="D73" s="16">
        <f t="shared" si="24"/>
        <v>2.5591068375922554E-4</v>
      </c>
      <c r="E73" s="16">
        <f t="shared" si="24"/>
        <v>6.100910700819937E-4</v>
      </c>
      <c r="F73" s="16">
        <f t="shared" si="24"/>
        <v>0.25691317121107171</v>
      </c>
      <c r="G73" s="13"/>
      <c r="H73" s="13"/>
      <c r="J73" s="6" t="s">
        <v>93</v>
      </c>
      <c r="K73" s="16">
        <f t="shared" si="20"/>
        <v>0.26675999999997868</v>
      </c>
      <c r="L73" s="13">
        <f t="shared" si="21"/>
        <v>8.9999999999992798E-4</v>
      </c>
      <c r="M73" s="13">
        <f t="shared" si="22"/>
        <v>6.4367999999994838E-4</v>
      </c>
      <c r="N73" s="16">
        <f t="shared" ref="N73:N76" si="27">SUM(K73:M73)</f>
        <v>0.26830367999997851</v>
      </c>
      <c r="O73" s="13"/>
      <c r="P73" s="13"/>
    </row>
    <row r="74" spans="2:16" x14ac:dyDescent="0.2">
      <c r="B74" s="6" t="s">
        <v>94</v>
      </c>
      <c r="C74" s="16">
        <f t="shared" si="24"/>
        <v>0.25254972344585441</v>
      </c>
      <c r="D74" s="16">
        <f t="shared" si="24"/>
        <v>2.5591068375922554E-4</v>
      </c>
      <c r="E74" s="16">
        <f t="shared" si="24"/>
        <v>6.100910700819937E-4</v>
      </c>
      <c r="F74" s="16">
        <f t="shared" si="24"/>
        <v>0.25341572519969563</v>
      </c>
      <c r="G74" s="13"/>
      <c r="H74" s="13"/>
      <c r="J74" s="6" t="s">
        <v>94</v>
      </c>
      <c r="K74" s="16">
        <f t="shared" si="20"/>
        <v>0.27863999999997768</v>
      </c>
      <c r="L74" s="13">
        <f t="shared" si="21"/>
        <v>8.9999999999992798E-4</v>
      </c>
      <c r="M74" s="13">
        <f t="shared" si="22"/>
        <v>6.4367999999994838E-4</v>
      </c>
      <c r="N74" s="16">
        <f t="shared" si="27"/>
        <v>0.28018367999997751</v>
      </c>
      <c r="O74" s="13"/>
      <c r="P74" s="13"/>
    </row>
    <row r="75" spans="2:16" x14ac:dyDescent="0.2">
      <c r="B75" s="6" t="s">
        <v>99</v>
      </c>
      <c r="C75" s="16">
        <f t="shared" si="24"/>
        <v>0.25659311224925019</v>
      </c>
      <c r="D75" s="16">
        <f t="shared" si="24"/>
        <v>2.5591068375922554E-4</v>
      </c>
      <c r="E75" s="16">
        <f t="shared" si="24"/>
        <v>6.100910700819937E-4</v>
      </c>
      <c r="F75" s="16">
        <f t="shared" si="24"/>
        <v>0.2574591140030914</v>
      </c>
      <c r="G75" s="13"/>
      <c r="H75" s="13"/>
      <c r="J75" s="6" t="s">
        <v>99</v>
      </c>
      <c r="K75" s="16">
        <f t="shared" si="20"/>
        <v>0.25883999999997931</v>
      </c>
      <c r="L75" s="13">
        <f t="shared" si="21"/>
        <v>8.9999999999992798E-4</v>
      </c>
      <c r="M75" s="13">
        <f t="shared" si="22"/>
        <v>6.4367999999994838E-4</v>
      </c>
      <c r="N75" s="16">
        <f t="shared" si="27"/>
        <v>0.26038367999997913</v>
      </c>
      <c r="O75" s="13"/>
      <c r="P75" s="13"/>
    </row>
    <row r="76" spans="2:16" x14ac:dyDescent="0.2">
      <c r="B76" s="6" t="s">
        <v>143</v>
      </c>
      <c r="C76" s="16">
        <f t="shared" si="24"/>
        <v>0.1810836636991372</v>
      </c>
      <c r="D76" s="16">
        <f t="shared" si="24"/>
        <v>8.530356125307519E-5</v>
      </c>
      <c r="E76" s="16">
        <f t="shared" si="24"/>
        <v>1.0168184501366563E-4</v>
      </c>
      <c r="F76" s="16">
        <f t="shared" si="24"/>
        <v>0.18127064910540394</v>
      </c>
      <c r="G76" s="13"/>
      <c r="H76" s="13"/>
      <c r="J76" s="6" t="s">
        <v>143</v>
      </c>
      <c r="K76" s="16">
        <f t="shared" si="20"/>
        <v>0.20195999999998385</v>
      </c>
      <c r="L76" s="13">
        <f t="shared" si="21"/>
        <v>4.4999999999996399E-4</v>
      </c>
      <c r="M76" s="13">
        <f t="shared" si="22"/>
        <v>1.0727999999999144E-4</v>
      </c>
      <c r="N76" s="16">
        <f t="shared" si="27"/>
        <v>0.20251727999998378</v>
      </c>
      <c r="O76" s="13"/>
      <c r="P76" s="13"/>
    </row>
    <row r="78" spans="2:16" x14ac:dyDescent="0.2">
      <c r="B78" s="9" t="s">
        <v>186</v>
      </c>
      <c r="J78" s="9" t="s">
        <v>186</v>
      </c>
    </row>
    <row r="80" spans="2:16" x14ac:dyDescent="0.2">
      <c r="B80" s="9" t="s">
        <v>175</v>
      </c>
      <c r="J80" s="9" t="s">
        <v>176</v>
      </c>
    </row>
    <row r="81" spans="2:16" x14ac:dyDescent="0.2">
      <c r="B81" s="11" t="s">
        <v>177</v>
      </c>
      <c r="C81" s="12" t="s">
        <v>0</v>
      </c>
      <c r="D81" s="12" t="s">
        <v>1</v>
      </c>
      <c r="E81" s="12" t="s">
        <v>2</v>
      </c>
      <c r="F81" s="12" t="s">
        <v>295</v>
      </c>
      <c r="G81" s="12" t="s">
        <v>178</v>
      </c>
      <c r="H81" s="12" t="s">
        <v>179</v>
      </c>
      <c r="J81" s="11" t="s">
        <v>177</v>
      </c>
      <c r="K81" s="12" t="s">
        <v>0</v>
      </c>
      <c r="L81" s="12" t="s">
        <v>1</v>
      </c>
      <c r="M81" s="12" t="s">
        <v>2</v>
      </c>
      <c r="N81" s="12" t="s">
        <v>295</v>
      </c>
      <c r="O81" s="12" t="s">
        <v>178</v>
      </c>
      <c r="P81" s="12" t="s">
        <v>179</v>
      </c>
    </row>
    <row r="82" spans="2:16" x14ac:dyDescent="0.2">
      <c r="B82" s="6" t="s">
        <v>180</v>
      </c>
      <c r="C82" s="13"/>
      <c r="D82" s="13"/>
      <c r="E82" s="13"/>
      <c r="F82" s="13"/>
      <c r="G82" s="13"/>
      <c r="H82" s="13"/>
      <c r="J82" s="6" t="s">
        <v>180</v>
      </c>
      <c r="K82" s="13"/>
      <c r="L82" s="13"/>
      <c r="M82" s="13"/>
      <c r="N82" s="13"/>
      <c r="O82" s="13"/>
      <c r="P82" s="13"/>
    </row>
    <row r="83" spans="2:16" x14ac:dyDescent="0.2">
      <c r="B83" s="6" t="s">
        <v>181</v>
      </c>
      <c r="C83" s="13">
        <f>C57</f>
        <v>0</v>
      </c>
      <c r="D83" s="13">
        <f>D57/25</f>
        <v>0</v>
      </c>
      <c r="E83" s="13">
        <f>E57/298</f>
        <v>0</v>
      </c>
      <c r="F83" s="13">
        <v>0</v>
      </c>
      <c r="G83" s="13"/>
      <c r="H83" s="13"/>
      <c r="J83" s="6" t="s">
        <v>181</v>
      </c>
      <c r="K83" s="13">
        <f>K57</f>
        <v>0</v>
      </c>
      <c r="L83" s="13">
        <f>L57/25</f>
        <v>0</v>
      </c>
      <c r="M83" s="13">
        <f>M57/298</f>
        <v>0</v>
      </c>
      <c r="N83" s="13">
        <v>0</v>
      </c>
      <c r="O83" s="13"/>
      <c r="P83" s="13"/>
    </row>
    <row r="84" spans="2:16" x14ac:dyDescent="0.2">
      <c r="B84" s="6" t="s">
        <v>182</v>
      </c>
      <c r="C84" s="13">
        <f t="shared" ref="C84:C102" si="28">C58</f>
        <v>0</v>
      </c>
      <c r="D84" s="13">
        <f t="shared" ref="D84:D102" si="29">D58/25</f>
        <v>0</v>
      </c>
      <c r="E84" s="13">
        <f t="shared" ref="E84:E102" si="30">E58/298</f>
        <v>0</v>
      </c>
      <c r="F84" s="13">
        <v>0</v>
      </c>
      <c r="G84" s="13"/>
      <c r="H84" s="13"/>
      <c r="J84" s="6" t="s">
        <v>182</v>
      </c>
      <c r="K84" s="13">
        <f t="shared" ref="K84:K96" si="31">K58</f>
        <v>0</v>
      </c>
      <c r="L84" s="13">
        <f t="shared" ref="L84:L96" si="32">L58/25</f>
        <v>0</v>
      </c>
      <c r="M84" s="13">
        <f t="shared" ref="M84:M96" si="33">M58/298</f>
        <v>0</v>
      </c>
      <c r="N84" s="13">
        <v>0</v>
      </c>
      <c r="O84" s="13"/>
      <c r="P84" s="13"/>
    </row>
    <row r="85" spans="2:16" x14ac:dyDescent="0.2">
      <c r="B85" s="6" t="s">
        <v>95</v>
      </c>
      <c r="C85" s="13">
        <f t="shared" si="28"/>
        <v>0.35380961984292969</v>
      </c>
      <c r="D85" s="13">
        <f t="shared" si="29"/>
        <v>3.7533566951353088E-5</v>
      </c>
      <c r="E85" s="13">
        <f t="shared" si="30"/>
        <v>5.4594279201968117E-6</v>
      </c>
      <c r="F85" s="16">
        <f>F59</f>
        <v>0.35637486853693218</v>
      </c>
      <c r="G85" s="13"/>
      <c r="H85" s="13"/>
      <c r="J85" s="6" t="s">
        <v>95</v>
      </c>
      <c r="K85" s="13">
        <f>AA3</f>
        <v>0.35387999999997166</v>
      </c>
      <c r="L85" s="13">
        <f t="shared" ref="L85:M85" si="34">AB3</f>
        <v>1.0799999999999137E-3</v>
      </c>
      <c r="M85" s="13">
        <f t="shared" si="34"/>
        <v>5.399999999999568E-6</v>
      </c>
      <c r="N85" s="16">
        <f>N59</f>
        <v>0.38248919999996939</v>
      </c>
      <c r="O85" s="13"/>
      <c r="P85" s="13"/>
    </row>
    <row r="86" spans="2:16" x14ac:dyDescent="0.2">
      <c r="B86" s="6" t="s">
        <v>96</v>
      </c>
      <c r="C86" s="13">
        <f t="shared" si="28"/>
        <v>0.31836674891378225</v>
      </c>
      <c r="D86" s="13">
        <f t="shared" si="29"/>
        <v>3.7533566951353088E-5</v>
      </c>
      <c r="E86" s="13">
        <f t="shared" si="30"/>
        <v>5.4594279201968117E-6</v>
      </c>
      <c r="F86" s="16">
        <f t="shared" ref="F86:F102" si="35">F60</f>
        <v>0.32093199760778479</v>
      </c>
      <c r="G86" s="13"/>
      <c r="H86" s="13"/>
      <c r="J86" s="6" t="s">
        <v>96</v>
      </c>
      <c r="K86" s="13">
        <f t="shared" ref="K86:K92" si="36">AA4</f>
        <v>0.34055999999997277</v>
      </c>
      <c r="L86" s="13">
        <f t="shared" ref="L86:L92" si="37">AB4</f>
        <v>1.0799999999999137E-3</v>
      </c>
      <c r="M86" s="13">
        <f t="shared" ref="M86:M92" si="38">AC4</f>
        <v>5.399999999999568E-6</v>
      </c>
      <c r="N86" s="16">
        <f t="shared" ref="N86:N102" si="39">N60</f>
        <v>0.3691691999999705</v>
      </c>
      <c r="O86" s="13"/>
      <c r="P86" s="13"/>
    </row>
    <row r="87" spans="2:16" x14ac:dyDescent="0.2">
      <c r="B87" s="6" t="s">
        <v>97</v>
      </c>
      <c r="C87" s="13">
        <f t="shared" si="28"/>
        <v>0.38940726313421303</v>
      </c>
      <c r="D87" s="13">
        <f t="shared" si="29"/>
        <v>3.7533566951353088E-5</v>
      </c>
      <c r="E87" s="13">
        <f t="shared" si="30"/>
        <v>5.4594279201968117E-6</v>
      </c>
      <c r="F87" s="16">
        <f t="shared" si="35"/>
        <v>0.39197251182821552</v>
      </c>
      <c r="G87" s="13"/>
      <c r="H87" s="13"/>
      <c r="J87" s="6" t="s">
        <v>97</v>
      </c>
      <c r="K87" s="13">
        <f t="shared" si="36"/>
        <v>0.38519999999996918</v>
      </c>
      <c r="L87" s="13">
        <f t="shared" si="37"/>
        <v>1.0799999999999137E-3</v>
      </c>
      <c r="M87" s="13">
        <f t="shared" si="38"/>
        <v>5.399999999999568E-6</v>
      </c>
      <c r="N87" s="16">
        <f t="shared" si="39"/>
        <v>0.4138091999999669</v>
      </c>
      <c r="O87" s="13"/>
      <c r="P87" s="13"/>
    </row>
    <row r="88" spans="2:16" x14ac:dyDescent="0.2">
      <c r="B88" s="6" t="s">
        <v>92</v>
      </c>
      <c r="C88" s="13">
        <f t="shared" si="28"/>
        <v>0.24959822022649802</v>
      </c>
      <c r="D88" s="13">
        <f t="shared" si="29"/>
        <v>1.0236427350369022E-5</v>
      </c>
      <c r="E88" s="13">
        <f t="shared" si="30"/>
        <v>2.0472854700738044E-6</v>
      </c>
      <c r="F88" s="16">
        <f t="shared" si="35"/>
        <v>0.25046422198033924</v>
      </c>
      <c r="G88" s="13"/>
      <c r="H88" s="13"/>
      <c r="J88" s="6" t="s">
        <v>92</v>
      </c>
      <c r="K88" s="13">
        <f t="shared" si="36"/>
        <v>0.26675999999997868</v>
      </c>
      <c r="L88" s="13">
        <f t="shared" si="37"/>
        <v>3.5999999999997121E-5</v>
      </c>
      <c r="M88" s="13">
        <f t="shared" si="38"/>
        <v>2.1599999999998269E-6</v>
      </c>
      <c r="N88" s="16">
        <f t="shared" si="39"/>
        <v>0.26830367999997851</v>
      </c>
      <c r="O88" s="13"/>
      <c r="P88" s="13"/>
    </row>
    <row r="89" spans="2:16" x14ac:dyDescent="0.2">
      <c r="B89" s="6" t="s">
        <v>90</v>
      </c>
      <c r="C89" s="13">
        <f t="shared" si="28"/>
        <v>0.21513358336906047</v>
      </c>
      <c r="D89" s="13">
        <f t="shared" si="29"/>
        <v>1.0236427350369022E-5</v>
      </c>
      <c r="E89" s="13">
        <f t="shared" si="30"/>
        <v>2.0472854700738044E-6</v>
      </c>
      <c r="F89" s="16">
        <f t="shared" si="35"/>
        <v>0.21599958512290171</v>
      </c>
      <c r="G89" s="13"/>
      <c r="H89" s="13"/>
      <c r="J89" s="6" t="s">
        <v>90</v>
      </c>
      <c r="K89" s="13">
        <f t="shared" si="36"/>
        <v>0.21513358336906047</v>
      </c>
      <c r="L89" s="13">
        <f t="shared" si="37"/>
        <v>1.0236427350369022E-5</v>
      </c>
      <c r="M89" s="13">
        <f t="shared" si="38"/>
        <v>2.0472854700738044E-6</v>
      </c>
      <c r="N89" s="16">
        <f t="shared" si="39"/>
        <v>0.21599958512290168</v>
      </c>
      <c r="O89" s="13"/>
      <c r="P89" s="13"/>
    </row>
    <row r="90" spans="2:16" x14ac:dyDescent="0.2">
      <c r="B90" s="6" t="s">
        <v>98</v>
      </c>
      <c r="C90" s="13">
        <f t="shared" si="28"/>
        <v>0.32005896182153809</v>
      </c>
      <c r="D90" s="13">
        <f t="shared" si="29"/>
        <v>2.4567425640885653E-5</v>
      </c>
      <c r="E90" s="13">
        <f t="shared" si="30"/>
        <v>1.2283712820442826E-5</v>
      </c>
      <c r="F90" s="16">
        <f t="shared" si="35"/>
        <v>0.32433369388305222</v>
      </c>
      <c r="G90" s="13"/>
      <c r="H90" s="13"/>
      <c r="J90" s="6" t="s">
        <v>98</v>
      </c>
      <c r="K90" s="13">
        <f t="shared" si="36"/>
        <v>0.40319999999996775</v>
      </c>
      <c r="L90" s="13">
        <f t="shared" si="37"/>
        <v>1.0799999999999137E-3</v>
      </c>
      <c r="M90" s="13">
        <f t="shared" si="38"/>
        <v>1.4399999999998847E-5</v>
      </c>
      <c r="N90" s="16">
        <f t="shared" si="39"/>
        <v>0.43449119999996527</v>
      </c>
      <c r="O90" s="13"/>
      <c r="P90" s="13"/>
    </row>
    <row r="91" spans="2:16" x14ac:dyDescent="0.2">
      <c r="B91" s="6" t="s">
        <v>101</v>
      </c>
      <c r="C91" s="13">
        <f t="shared" si="28"/>
        <v>0.22613974088190233</v>
      </c>
      <c r="D91" s="13">
        <f t="shared" si="29"/>
        <v>4.2651780626537592E-6</v>
      </c>
      <c r="E91" s="13">
        <f t="shared" si="30"/>
        <v>4.2651780626537586E-7</v>
      </c>
      <c r="F91" s="16">
        <f t="shared" si="35"/>
        <v>0.22637347263973576</v>
      </c>
      <c r="G91" s="13"/>
      <c r="H91" s="13"/>
      <c r="J91" s="6" t="s">
        <v>101</v>
      </c>
      <c r="K91" s="13">
        <f t="shared" si="36"/>
        <v>0.2524499999999798</v>
      </c>
      <c r="L91" s="13">
        <f t="shared" si="37"/>
        <v>2.2499999999998199E-5</v>
      </c>
      <c r="M91" s="13">
        <f t="shared" si="38"/>
        <v>4.4999999999996398E-7</v>
      </c>
      <c r="N91" s="16">
        <f t="shared" si="39"/>
        <v>0.25314659999997974</v>
      </c>
      <c r="O91" s="13"/>
      <c r="P91" s="13"/>
    </row>
    <row r="92" spans="2:16" x14ac:dyDescent="0.2">
      <c r="B92" s="6" t="s">
        <v>102</v>
      </c>
      <c r="C92" s="13">
        <f t="shared" si="28"/>
        <v>0.22613974088190233</v>
      </c>
      <c r="D92" s="13">
        <f t="shared" si="29"/>
        <v>4.2651780626537592E-6</v>
      </c>
      <c r="E92" s="13">
        <f t="shared" si="30"/>
        <v>4.2651780626537586E-7</v>
      </c>
      <c r="F92" s="16">
        <f t="shared" si="35"/>
        <v>0.22637347263973576</v>
      </c>
      <c r="G92" s="13"/>
      <c r="H92" s="13"/>
      <c r="J92" s="6" t="s">
        <v>102</v>
      </c>
      <c r="K92" s="13">
        <f t="shared" si="36"/>
        <v>0.2524499999999798</v>
      </c>
      <c r="L92" s="13">
        <f t="shared" si="37"/>
        <v>2.2499999999998199E-5</v>
      </c>
      <c r="M92" s="13">
        <f t="shared" si="38"/>
        <v>4.4999999999996398E-7</v>
      </c>
      <c r="N92" s="16">
        <f t="shared" si="39"/>
        <v>0.25314659999997974</v>
      </c>
      <c r="O92" s="13"/>
      <c r="P92" s="13"/>
    </row>
    <row r="93" spans="2:16" x14ac:dyDescent="0.2">
      <c r="B93" s="6" t="s">
        <v>103</v>
      </c>
      <c r="C93" s="13"/>
      <c r="D93" s="13"/>
      <c r="E93" s="13"/>
      <c r="F93" s="16"/>
      <c r="G93" s="13"/>
      <c r="H93" s="13"/>
      <c r="J93" s="6" t="s">
        <v>103</v>
      </c>
      <c r="K93" s="13"/>
      <c r="L93" s="13"/>
      <c r="M93" s="13"/>
      <c r="N93" s="16">
        <f t="shared" si="39"/>
        <v>0</v>
      </c>
      <c r="O93" s="13"/>
      <c r="P93" s="13"/>
    </row>
    <row r="94" spans="2:16" x14ac:dyDescent="0.2">
      <c r="B94" s="6" t="s">
        <v>104</v>
      </c>
      <c r="C94" s="13">
        <f t="shared" si="28"/>
        <v>0.25125358338255288</v>
      </c>
      <c r="D94" s="13">
        <f t="shared" si="29"/>
        <v>4.734347649545674E-6</v>
      </c>
      <c r="E94" s="13">
        <f t="shared" si="30"/>
        <v>4.3039524086778841E-7</v>
      </c>
      <c r="F94" s="16">
        <f t="shared" si="35"/>
        <v>0.25150019985557015</v>
      </c>
      <c r="G94" s="13"/>
      <c r="H94" s="13"/>
      <c r="J94" s="6" t="s">
        <v>104</v>
      </c>
      <c r="K94" s="13">
        <f t="shared" ref="K94:K95" si="40">AA12</f>
        <v>0.28021949999997758</v>
      </c>
      <c r="L94" s="13">
        <f t="shared" ref="L94:L95" si="41">AB12</f>
        <v>4.9949999999996015E-6</v>
      </c>
      <c r="M94" s="13">
        <f t="shared" ref="M94:M95" si="42">AC12</f>
        <v>4.5409090909087284E-7</v>
      </c>
      <c r="N94" s="16">
        <f t="shared" si="39"/>
        <v>0.28047969409088663</v>
      </c>
      <c r="O94" s="13"/>
      <c r="P94" s="13"/>
    </row>
    <row r="95" spans="2:16" x14ac:dyDescent="0.2">
      <c r="B95" s="6" t="s">
        <v>105</v>
      </c>
      <c r="C95" s="13">
        <f t="shared" si="28"/>
        <v>0.16750238892170194</v>
      </c>
      <c r="D95" s="13">
        <f t="shared" si="29"/>
        <v>3.1562317663637822E-6</v>
      </c>
      <c r="E95" s="13">
        <f t="shared" si="30"/>
        <v>3.1562317663637823E-7</v>
      </c>
      <c r="F95" s="16">
        <f t="shared" si="35"/>
        <v>0.16767535042249868</v>
      </c>
      <c r="G95" s="13"/>
      <c r="H95" s="13"/>
      <c r="J95" s="6" t="s">
        <v>105</v>
      </c>
      <c r="K95" s="13">
        <f t="shared" si="40"/>
        <v>0.1868129999999851</v>
      </c>
      <c r="L95" s="13">
        <f t="shared" si="41"/>
        <v>3.3299999999997343E-6</v>
      </c>
      <c r="M95" s="13">
        <f t="shared" si="42"/>
        <v>3.329999999999734E-7</v>
      </c>
      <c r="N95" s="16">
        <f t="shared" si="39"/>
        <v>0.18699548399998511</v>
      </c>
      <c r="O95" s="13"/>
      <c r="P95" s="13"/>
    </row>
    <row r="96" spans="2:16" x14ac:dyDescent="0.2">
      <c r="B96" s="6" t="s">
        <v>183</v>
      </c>
      <c r="C96" s="13">
        <f t="shared" si="28"/>
        <v>0</v>
      </c>
      <c r="D96" s="13">
        <f t="shared" si="29"/>
        <v>0</v>
      </c>
      <c r="E96" s="13">
        <f t="shared" si="30"/>
        <v>0</v>
      </c>
      <c r="F96" s="16">
        <f t="shared" si="35"/>
        <v>0</v>
      </c>
      <c r="G96" s="13"/>
      <c r="H96" s="13"/>
      <c r="J96" s="6" t="s">
        <v>183</v>
      </c>
      <c r="K96" s="13">
        <f t="shared" si="31"/>
        <v>0</v>
      </c>
      <c r="L96" s="13">
        <f t="shared" si="32"/>
        <v>0</v>
      </c>
      <c r="M96" s="13">
        <f t="shared" si="33"/>
        <v>0</v>
      </c>
      <c r="N96" s="16">
        <f t="shared" si="39"/>
        <v>0</v>
      </c>
      <c r="O96" s="13"/>
      <c r="P96" s="13"/>
    </row>
    <row r="97" spans="2:19" x14ac:dyDescent="0.2">
      <c r="B97" s="6" t="s">
        <v>184</v>
      </c>
      <c r="C97" s="13">
        <f t="shared" si="28"/>
        <v>0.24993943447151029</v>
      </c>
      <c r="D97" s="13">
        <f t="shared" si="29"/>
        <v>1.0236427350369022E-5</v>
      </c>
      <c r="E97" s="13">
        <f t="shared" si="30"/>
        <v>2.0472854700738044E-6</v>
      </c>
      <c r="F97" s="16">
        <f t="shared" si="35"/>
        <v>0.25080543622535151</v>
      </c>
      <c r="G97" s="13"/>
      <c r="H97" s="13"/>
      <c r="J97" s="6" t="s">
        <v>184</v>
      </c>
      <c r="K97" s="13">
        <f t="shared" ref="K97:K98" si="43">AA15</f>
        <v>0.26675999999997868</v>
      </c>
      <c r="L97" s="13">
        <f t="shared" ref="L97:L98" si="44">AB15</f>
        <v>3.5999999999997121E-5</v>
      </c>
      <c r="M97" s="13">
        <f t="shared" ref="M97:M98" si="45">AC15</f>
        <v>2.1599999999998269E-6</v>
      </c>
      <c r="N97" s="16">
        <f t="shared" si="39"/>
        <v>0.26830367999997851</v>
      </c>
      <c r="O97" s="13"/>
      <c r="P97" s="13"/>
    </row>
    <row r="98" spans="2:19" x14ac:dyDescent="0.2">
      <c r="B98" s="6" t="s">
        <v>91</v>
      </c>
      <c r="C98" s="13">
        <f t="shared" si="28"/>
        <v>0.25236205561109759</v>
      </c>
      <c r="D98" s="13">
        <f t="shared" si="29"/>
        <v>1.0236427350369022E-5</v>
      </c>
      <c r="E98" s="13">
        <f t="shared" si="30"/>
        <v>2.0472854700738044E-6</v>
      </c>
      <c r="F98" s="16">
        <f t="shared" si="35"/>
        <v>0.25322805736493881</v>
      </c>
      <c r="G98" s="13"/>
      <c r="H98" s="13"/>
      <c r="J98" s="6" t="s">
        <v>91</v>
      </c>
      <c r="K98" s="13">
        <f t="shared" si="43"/>
        <v>0.26675999999997868</v>
      </c>
      <c r="L98" s="13">
        <f t="shared" si="44"/>
        <v>3.5999999999997121E-5</v>
      </c>
      <c r="M98" s="13">
        <f t="shared" si="45"/>
        <v>2.1599999999998269E-6</v>
      </c>
      <c r="N98" s="16">
        <f t="shared" si="39"/>
        <v>0.26830367999997851</v>
      </c>
      <c r="O98" s="13"/>
      <c r="P98" s="13"/>
    </row>
    <row r="99" spans="2:19" x14ac:dyDescent="0.2">
      <c r="B99" s="6" t="s">
        <v>93</v>
      </c>
      <c r="C99" s="13">
        <f t="shared" si="28"/>
        <v>0.25604716945723049</v>
      </c>
      <c r="D99" s="13">
        <f t="shared" si="29"/>
        <v>1.0236427350369022E-5</v>
      </c>
      <c r="E99" s="13">
        <f t="shared" si="30"/>
        <v>2.0472854700738044E-6</v>
      </c>
      <c r="F99" s="16">
        <f t="shared" si="35"/>
        <v>0.25691317121107171</v>
      </c>
      <c r="G99" s="13"/>
      <c r="H99" s="13"/>
      <c r="J99" s="6" t="s">
        <v>93</v>
      </c>
      <c r="K99" s="13">
        <f t="shared" ref="K99:K102" si="46">AA17</f>
        <v>0.26675999999997868</v>
      </c>
      <c r="L99" s="13">
        <f t="shared" ref="L99:L102" si="47">AB17</f>
        <v>3.5999999999997121E-5</v>
      </c>
      <c r="M99" s="13">
        <f t="shared" ref="M99:M102" si="48">AC17</f>
        <v>2.1599999999998269E-6</v>
      </c>
      <c r="N99" s="16">
        <f t="shared" si="39"/>
        <v>0.26830367999997851</v>
      </c>
      <c r="O99" s="13"/>
      <c r="P99" s="13"/>
    </row>
    <row r="100" spans="2:19" x14ac:dyDescent="0.2">
      <c r="B100" s="6" t="s">
        <v>94</v>
      </c>
      <c r="C100" s="13">
        <f t="shared" si="28"/>
        <v>0.25254972344585441</v>
      </c>
      <c r="D100" s="13">
        <f t="shared" si="29"/>
        <v>1.0236427350369022E-5</v>
      </c>
      <c r="E100" s="13">
        <f t="shared" si="30"/>
        <v>2.0472854700738044E-6</v>
      </c>
      <c r="F100" s="16">
        <f t="shared" si="35"/>
        <v>0.25341572519969563</v>
      </c>
      <c r="G100" s="13"/>
      <c r="H100" s="13"/>
      <c r="J100" s="6" t="s">
        <v>94</v>
      </c>
      <c r="K100" s="13">
        <f t="shared" si="46"/>
        <v>0.27863999999997768</v>
      </c>
      <c r="L100" s="13">
        <f t="shared" si="47"/>
        <v>3.5999999999997121E-5</v>
      </c>
      <c r="M100" s="13">
        <f t="shared" si="48"/>
        <v>2.1599999999998269E-6</v>
      </c>
      <c r="N100" s="16">
        <f t="shared" si="39"/>
        <v>0.28018367999997751</v>
      </c>
      <c r="O100" s="13"/>
      <c r="P100" s="13"/>
    </row>
    <row r="101" spans="2:19" x14ac:dyDescent="0.2">
      <c r="B101" s="6" t="s">
        <v>99</v>
      </c>
      <c r="C101" s="13">
        <f t="shared" si="28"/>
        <v>0.25659311224925019</v>
      </c>
      <c r="D101" s="13">
        <f t="shared" si="29"/>
        <v>1.0236427350369022E-5</v>
      </c>
      <c r="E101" s="13">
        <f t="shared" si="30"/>
        <v>2.0472854700738044E-6</v>
      </c>
      <c r="F101" s="16">
        <f t="shared" si="35"/>
        <v>0.2574591140030914</v>
      </c>
      <c r="G101" s="13"/>
      <c r="H101" s="13"/>
      <c r="J101" s="6" t="s">
        <v>99</v>
      </c>
      <c r="K101" s="13">
        <f t="shared" si="46"/>
        <v>0.25883999999997931</v>
      </c>
      <c r="L101" s="13">
        <f t="shared" si="47"/>
        <v>3.5999999999997121E-5</v>
      </c>
      <c r="M101" s="13">
        <f t="shared" si="48"/>
        <v>2.1599999999998269E-6</v>
      </c>
      <c r="N101" s="16">
        <f t="shared" si="39"/>
        <v>0.26038367999997913</v>
      </c>
      <c r="O101" s="13"/>
      <c r="P101" s="13"/>
    </row>
    <row r="102" spans="2:19" x14ac:dyDescent="0.2">
      <c r="B102" s="6" t="s">
        <v>143</v>
      </c>
      <c r="C102" s="13">
        <f t="shared" si="28"/>
        <v>0.1810836636991372</v>
      </c>
      <c r="D102" s="13">
        <f t="shared" si="29"/>
        <v>3.4121424501230078E-6</v>
      </c>
      <c r="E102" s="13">
        <f t="shared" si="30"/>
        <v>3.4121424501230073E-7</v>
      </c>
      <c r="F102" s="16">
        <f t="shared" si="35"/>
        <v>0.18127064910540394</v>
      </c>
      <c r="G102" s="13"/>
      <c r="H102" s="13"/>
      <c r="J102" s="6" t="s">
        <v>143</v>
      </c>
      <c r="K102" s="13">
        <f t="shared" si="46"/>
        <v>0.20195999999998385</v>
      </c>
      <c r="L102" s="13">
        <f t="shared" si="47"/>
        <v>1.7999999999998561E-5</v>
      </c>
      <c r="M102" s="13">
        <f t="shared" si="48"/>
        <v>3.5999999999997125E-7</v>
      </c>
      <c r="N102" s="16">
        <f t="shared" si="39"/>
        <v>0.20251727999998378</v>
      </c>
      <c r="O102" s="13"/>
      <c r="P102" s="13"/>
    </row>
    <row r="104" spans="2:19" x14ac:dyDescent="0.2">
      <c r="B104" s="9" t="s">
        <v>296</v>
      </c>
      <c r="J104" s="9" t="s">
        <v>296</v>
      </c>
    </row>
    <row r="106" spans="2:19" x14ac:dyDescent="0.2">
      <c r="O106" s="6"/>
      <c r="P106" s="7"/>
      <c r="Q106" s="6"/>
      <c r="R106" s="6"/>
      <c r="S106" s="7"/>
    </row>
  </sheetData>
  <mergeCells count="1">
    <mergeCell ref="C1:E1"/>
  </mergeCells>
  <hyperlinks>
    <hyperlink ref="E20" r:id="rId1" display="https://www.eia.gov/tools/faqs/faq.php?id=73&amp;t=11" xr:uid="{C456485D-C4F7-AF4C-9D86-28257E9451A7}"/>
    <hyperlink ref="E7" r:id="rId2" display="https://www.eia.gov/tools/faqs/faq.php?id=73&amp;t=11" xr:uid="{0D20E3D0-D6FA-CA4F-AFEC-95E4573E118A}"/>
    <hyperlink ref="E3" r:id="rId3" display="https://www.eia.gov/tools/faqs/faq.php?id=73&amp;t=11" xr:uid="{C4687219-5F02-914A-BCB5-40C68EB1F117}"/>
    <hyperlink ref="E4" r:id="rId4" display="https://www.eia.gov/tools/faqs/faq.php?id=73&amp;t=11" xr:uid="{77AF135C-AC27-F845-8026-D175DED29499}"/>
    <hyperlink ref="E5" r:id="rId5" display="https://www.eia.gov/environment/emissions/co2_vol_mass.php" xr:uid="{5084D89A-D42E-A04B-8516-DBA69AC7D3B6}"/>
    <hyperlink ref="E6" r:id="rId6" location="tbl1" display="https://www.eia.gov/environment/emissions/archive/coefficients.php - tbl1" xr:uid="{F4A957F0-1B01-B04E-BD04-3658A70F36BF}"/>
    <hyperlink ref="E8" r:id="rId7" display="https://www.epa.gov/sites/production/files/2018-03/documents/emission-factors_mar_2018_0.pdf" xr:uid="{BA3DAA1D-1176-6D41-AA86-1FC6BD851A11}"/>
    <hyperlink ref="E15" r:id="rId8" display="https://www.epa.gov/sites/production/files/2018-03/documents/emission-factors_mar_2018_0.pdf" xr:uid="{5000BB3B-C301-D940-B618-6D6C7526FE89}"/>
    <hyperlink ref="E16" r:id="rId9" display="https://www.epa.gov/sites/production/files/2018-03/documents/emission-factors_mar_2018_0.pdf" xr:uid="{2B4BE3CA-8ACC-784D-B13B-F67D1ABE7DE3}"/>
    <hyperlink ref="E17" r:id="rId10" display="https://www.epa.gov/sites/production/files/2018-03/documents/emission-factors_mar_2018_0.pdf" xr:uid="{7CF6E224-A92A-E64C-B83E-7EB2670B366E}"/>
    <hyperlink ref="E18" r:id="rId11" display="https://www.epa.gov/sites/production/files/2018-03/documents/emission-factors_mar_2018_0.pdf" xr:uid="{0260AC36-7159-A942-AD99-F8A4AE5B882A}"/>
    <hyperlink ref="E9" r:id="rId12" display="https://obamawhitehouse.archives.gov/sites/default/files/federal_greenhouse_gas_accounting_and_reporting_guidance_technical_support_document.pdf, Table D-9, 80% boiler efficiency" xr:uid="{6B30F32D-698C-5A4F-93D8-6A0D902EDE04}"/>
    <hyperlink ref="E19" r:id="rId13" display="https://www.epa.gov/sites/production/files/2018-03/documents/emission-factors_mar_2018_0.pdf" xr:uid="{29ED67F7-5960-AA46-8546-7B3720F5C047}"/>
    <hyperlink ref="E10" r:id="rId14" display="https://obamawhitehouse.archives.gov/sites/default/files/federal_greenhouse_gas_accounting_and_reporting_guidance_technical_support_document.pdf, Table D-9, 80% boiler efficiency" xr:uid="{E36D8BCC-2EDA-914E-B28D-5994D2751496}"/>
    <hyperlink ref="E12" r:id="rId15" display="https://obamawhitehouse.archives.gov/sites/default/files/federal_greenhouse_gas_accounting_and_reporting_guidance_technical_support_document.pdf, Table D-10" xr:uid="{0A57AAE5-FDA5-044E-81CE-A8086867C8C0}"/>
    <hyperlink ref="E13" r:id="rId16" display="https://obamawhitehouse.archives.gov/sites/default/files/federal_greenhouse_gas_accounting_and_reporting_guidance_technical_support_document.pdf, Table D-10" xr:uid="{27557B15-C269-E74C-9B92-12014C1E8C3F}"/>
    <hyperlink ref="E11" r:id="rId17" display="https://obamawhitehouse.archives.gov/sites/default/files/federal_greenhouse_gas_accounting_and_reporting_guidance_technical_support_document.pdf, Table D-10" xr:uid="{FCB240B3-6690-7A46-9242-35A5E7FDCE23}"/>
    <hyperlink ref="Q20" r:id="rId18" location="tbl1" display="https://www.eia.gov/environment/emissions/archive/coefficients.php - tbl1" xr:uid="{C5C9AD92-623C-A04E-9B1D-70E1427FE7DF}"/>
    <hyperlink ref="Q7" r:id="rId19" location="tbl1" display="https://www.eia.gov/environment/emissions/archive/coefficients.php - tbl1" xr:uid="{DBDB9951-788A-1A4D-9D86-344E9F8B0873}"/>
    <hyperlink ref="Q16" r:id="rId20" location="tbl1" display="https://www.eia.gov/environment/emissions/archive/coefficients.php - tbl1" xr:uid="{3D453518-3673-7843-A94A-73BA1FB23BC2}"/>
    <hyperlink ref="Q17" r:id="rId21" location="tbl1" display="https://www.eia.gov/environment/emissions/archive/coefficients.php - tbl1" xr:uid="{577151B7-EE87-1048-B408-A54F3B63B44C}"/>
    <hyperlink ref="Q18" r:id="rId22" location="tbl1" display="https://www.eia.gov/environment/emissions/archive/coefficients.php - tbl1" xr:uid="{DB75CAEC-DD4C-5048-90EA-8F0D810BBEFC}"/>
    <hyperlink ref="Q3:Q19" r:id="rId23" location="tbl1" display="https://www.eia.gov/environment/emissions/archive/coefficients.php - tbl1" xr:uid="{E62EBCC2-6EEE-854A-91DD-8A024A4AB9F0}"/>
    <hyperlink ref="Q9" r:id="rId24" display="https://obamawhitehouse.archives.gov/sites/default/files/federal_greenhouse_gas_accounting_and_reporting_guidance_technical_support_document.pdf, Table D-9" xr:uid="{87BA386E-1517-6743-B59B-74035895B153}"/>
    <hyperlink ref="Q10" r:id="rId25" display="https://obamawhitehouse.archives.gov/sites/default/files/federal_greenhouse_gas_accounting_and_reporting_guidance_technical_support_document.pdf, Table D-9" xr:uid="{5C897E71-D70F-DC42-886C-21693BDA2C34}"/>
    <hyperlink ref="K20" r:id="rId26" location="tbl1" display="https://www.eia.gov/environment/emissions/archive/coefficients.php - tbl1" xr:uid="{E268F192-DACF-0B4B-BE92-7C2C4DAE8CA5}"/>
    <hyperlink ref="K7" r:id="rId27" location="tbl1" display="https://www.eia.gov/environment/emissions/archive/coefficients.php - tbl1" xr:uid="{FA719C47-DBEE-5745-9B40-85F76B71AC66}"/>
    <hyperlink ref="K16" r:id="rId28" location="tbl1" display="https://www.eia.gov/environment/emissions/archive/coefficients.php - tbl1" xr:uid="{1CDD4C21-0040-F344-9E06-457D2D93B805}"/>
    <hyperlink ref="K17" r:id="rId29" location="tbl1" display="https://www.eia.gov/environment/emissions/archive/coefficients.php - tbl1" xr:uid="{347C1C80-C2BA-C44F-A56F-8EC02E932D02}"/>
    <hyperlink ref="K18" r:id="rId30" location="tbl1" display="https://www.eia.gov/environment/emissions/archive/coefficients.php - tbl1" xr:uid="{5D09AFEF-3F35-D64A-B306-D42B1B8DC183}"/>
    <hyperlink ref="K3:K19" r:id="rId31" location="tbl1" display="https://www.eia.gov/environment/emissions/archive/coefficients.php - tbl1" xr:uid="{DEA9B69C-11A1-FA47-BB81-24F37088BB7A}"/>
    <hyperlink ref="K9" r:id="rId32" display="https://obamawhitehouse.archives.gov/sites/default/files/federal_greenhouse_gas_accounting_and_reporting_guidance_technical_support_document.pdf, Table D-9" xr:uid="{9A53700B-C301-B945-8F42-922E5A12930F}"/>
    <hyperlink ref="K10" r:id="rId33" display="https://obamawhitehouse.archives.gov/sites/default/files/federal_greenhouse_gas_accounting_and_reporting_guidance_technical_support_document.pdf, Table D-9" xr:uid="{3B55ACFC-9791-3746-BF3F-3F5392C43F8B}"/>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B1EBE-97A4-3246-838A-D3874785EC20}">
  <dimension ref="A1:I122"/>
  <sheetViews>
    <sheetView topLeftCell="A154" workbookViewId="0">
      <selection activeCell="D167" sqref="D167"/>
    </sheetView>
  </sheetViews>
  <sheetFormatPr baseColWidth="10" defaultColWidth="11" defaultRowHeight="16" x14ac:dyDescent="0.2"/>
  <cols>
    <col min="1" max="1" width="20" customWidth="1"/>
    <col min="3" max="3" width="11.6640625" customWidth="1"/>
    <col min="4" max="4" width="27" customWidth="1"/>
    <col min="5" max="5" width="25.33203125" customWidth="1"/>
    <col min="12" max="12" width="12.5" customWidth="1"/>
    <col min="13" max="13" width="16.1640625" customWidth="1"/>
  </cols>
  <sheetData>
    <row r="1" spans="1:9" ht="48" customHeight="1" x14ac:dyDescent="0.2">
      <c r="A1" s="157" t="s">
        <v>131</v>
      </c>
      <c r="B1" s="157"/>
      <c r="C1" s="157"/>
      <c r="D1" s="157"/>
      <c r="E1" s="157"/>
      <c r="F1" s="157"/>
      <c r="G1" s="157"/>
      <c r="H1" s="157"/>
      <c r="I1" s="157"/>
    </row>
    <row r="2" spans="1:9" x14ac:dyDescent="0.2">
      <c r="A2" s="2" t="s">
        <v>132</v>
      </c>
      <c r="B2" s="2" t="s">
        <v>133</v>
      </c>
      <c r="C2" s="2" t="s">
        <v>134</v>
      </c>
      <c r="D2" s="2" t="s">
        <v>135</v>
      </c>
      <c r="E2" s="2" t="s">
        <v>136</v>
      </c>
      <c r="F2" s="2" t="s">
        <v>81</v>
      </c>
    </row>
    <row r="3" spans="1:9" x14ac:dyDescent="0.2">
      <c r="A3" s="4" t="s">
        <v>82</v>
      </c>
      <c r="B3">
        <v>1</v>
      </c>
      <c r="C3" t="s">
        <v>137</v>
      </c>
      <c r="D3" s="1">
        <v>277.7777777778</v>
      </c>
      <c r="E3" s="1">
        <v>947.81712031330005</v>
      </c>
      <c r="F3" s="3" t="s">
        <v>138</v>
      </c>
    </row>
    <row r="4" spans="1:9" x14ac:dyDescent="0.2">
      <c r="A4" s="4" t="s">
        <v>82</v>
      </c>
      <c r="B4">
        <v>1</v>
      </c>
      <c r="C4" t="s">
        <v>139</v>
      </c>
      <c r="D4" s="1">
        <v>0.29307109999999997</v>
      </c>
      <c r="E4" s="1">
        <v>1</v>
      </c>
      <c r="F4" s="3" t="s">
        <v>138</v>
      </c>
    </row>
    <row r="5" spans="1:9" x14ac:dyDescent="0.2">
      <c r="A5" s="4" t="s">
        <v>82</v>
      </c>
      <c r="B5">
        <v>1</v>
      </c>
      <c r="C5" t="s">
        <v>140</v>
      </c>
      <c r="D5" s="1">
        <v>1</v>
      </c>
      <c r="E5" s="1">
        <v>3.4121416331000001</v>
      </c>
      <c r="F5" s="3" t="s">
        <v>138</v>
      </c>
    </row>
    <row r="6" spans="1:9" x14ac:dyDescent="0.2">
      <c r="A6" s="4" t="s">
        <v>82</v>
      </c>
      <c r="B6">
        <v>1</v>
      </c>
      <c r="C6" t="s">
        <v>141</v>
      </c>
      <c r="D6" s="1">
        <f>D4*1000</f>
        <v>293.0711</v>
      </c>
      <c r="E6" s="1">
        <v>1000</v>
      </c>
      <c r="F6" s="3" t="s">
        <v>138</v>
      </c>
    </row>
    <row r="7" spans="1:9" x14ac:dyDescent="0.2">
      <c r="A7" s="4" t="s">
        <v>82</v>
      </c>
      <c r="B7">
        <v>1</v>
      </c>
      <c r="C7" t="s">
        <v>142</v>
      </c>
      <c r="D7" s="1">
        <v>1000</v>
      </c>
      <c r="E7" s="1">
        <f>E5*1000</f>
        <v>3412.1416331</v>
      </c>
      <c r="F7" s="3" t="s">
        <v>138</v>
      </c>
    </row>
    <row r="8" spans="1:9" x14ac:dyDescent="0.2">
      <c r="A8" s="4"/>
      <c r="D8" s="1"/>
      <c r="E8" s="1"/>
    </row>
    <row r="9" spans="1:9" x14ac:dyDescent="0.2">
      <c r="A9" s="4" t="s">
        <v>143</v>
      </c>
      <c r="B9">
        <v>1</v>
      </c>
      <c r="C9" t="s">
        <v>144</v>
      </c>
      <c r="D9" s="1">
        <f>E9*D$4</f>
        <v>30.362165959999995</v>
      </c>
      <c r="E9" s="1">
        <v>103.6</v>
      </c>
      <c r="F9" s="3" t="s">
        <v>145</v>
      </c>
    </row>
    <row r="10" spans="1:9" x14ac:dyDescent="0.2">
      <c r="A10" s="4" t="s">
        <v>143</v>
      </c>
      <c r="B10">
        <v>1</v>
      </c>
      <c r="C10" t="s">
        <v>146</v>
      </c>
      <c r="D10" s="1">
        <f>E10*D$4</f>
        <v>0.30362165959999998</v>
      </c>
      <c r="E10" s="1">
        <f>E9/100</f>
        <v>1.036</v>
      </c>
      <c r="F10" s="3" t="s">
        <v>147</v>
      </c>
    </row>
    <row r="11" spans="1:9" x14ac:dyDescent="0.2">
      <c r="A11" s="4" t="s">
        <v>143</v>
      </c>
      <c r="B11">
        <v>1</v>
      </c>
      <c r="C11" t="s">
        <v>148</v>
      </c>
      <c r="D11" s="1">
        <f t="shared" ref="D11:D17" si="0">E11*D$4</f>
        <v>10.722398908773998</v>
      </c>
      <c r="E11" s="1">
        <f>E10*35.315</f>
        <v>36.58634</v>
      </c>
      <c r="F11" s="3" t="s">
        <v>149</v>
      </c>
    </row>
    <row r="12" spans="1:9" x14ac:dyDescent="0.2">
      <c r="A12" s="4" t="s">
        <v>143</v>
      </c>
      <c r="B12">
        <v>1</v>
      </c>
      <c r="C12" t="s">
        <v>137</v>
      </c>
      <c r="D12" s="1">
        <f t="shared" si="0"/>
        <v>277.77780604905115</v>
      </c>
      <c r="E12" s="1">
        <f>E3</f>
        <v>947.81712031330005</v>
      </c>
      <c r="F12" s="3" t="s">
        <v>138</v>
      </c>
    </row>
    <row r="13" spans="1:9" x14ac:dyDescent="0.2">
      <c r="A13" s="4" t="s">
        <v>143</v>
      </c>
      <c r="B13">
        <v>1</v>
      </c>
      <c r="C13" t="s">
        <v>139</v>
      </c>
      <c r="D13" s="1">
        <f t="shared" si="0"/>
        <v>0.29307109999999997</v>
      </c>
      <c r="E13" s="1">
        <f>E4</f>
        <v>1</v>
      </c>
      <c r="F13" s="3" t="s">
        <v>138</v>
      </c>
    </row>
    <row r="14" spans="1:9" x14ac:dyDescent="0.2">
      <c r="A14" s="4" t="s">
        <v>143</v>
      </c>
      <c r="B14">
        <v>1</v>
      </c>
      <c r="C14" t="s">
        <v>150</v>
      </c>
      <c r="D14" s="1">
        <f t="shared" si="0"/>
        <v>303.62165959999999</v>
      </c>
      <c r="E14" s="1">
        <f>E10*1000</f>
        <v>1036</v>
      </c>
      <c r="F14" s="3" t="s">
        <v>151</v>
      </c>
    </row>
    <row r="15" spans="1:9" x14ac:dyDescent="0.2">
      <c r="A15" s="4" t="s">
        <v>143</v>
      </c>
      <c r="B15">
        <v>1</v>
      </c>
      <c r="C15" t="s">
        <v>141</v>
      </c>
      <c r="D15" s="1">
        <f t="shared" si="0"/>
        <v>293.0711</v>
      </c>
      <c r="E15" s="1">
        <f>E6</f>
        <v>1000</v>
      </c>
      <c r="F15" s="3" t="s">
        <v>138</v>
      </c>
    </row>
    <row r="16" spans="1:9" x14ac:dyDescent="0.2">
      <c r="A16" s="4" t="s">
        <v>143</v>
      </c>
      <c r="B16">
        <v>1</v>
      </c>
      <c r="C16" t="s">
        <v>152</v>
      </c>
      <c r="D16" s="1">
        <f t="shared" si="0"/>
        <v>303621.65959999996</v>
      </c>
      <c r="E16" s="1">
        <f>E10*1000000</f>
        <v>1036000</v>
      </c>
      <c r="F16" s="3" t="s">
        <v>153</v>
      </c>
    </row>
    <row r="17" spans="1:6" x14ac:dyDescent="0.2">
      <c r="A17" s="4" t="s">
        <v>143</v>
      </c>
      <c r="B17">
        <v>1</v>
      </c>
      <c r="C17" t="s">
        <v>154</v>
      </c>
      <c r="D17" s="1">
        <f t="shared" si="0"/>
        <v>29.307109999999998</v>
      </c>
      <c r="E17" s="1">
        <v>100</v>
      </c>
      <c r="F17" s="3" t="s">
        <v>155</v>
      </c>
    </row>
    <row r="18" spans="1:6" x14ac:dyDescent="0.2">
      <c r="A18" s="4"/>
      <c r="D18" s="1"/>
      <c r="E18" s="1"/>
    </row>
    <row r="19" spans="1:6" x14ac:dyDescent="0.2">
      <c r="A19" s="4" t="s">
        <v>90</v>
      </c>
      <c r="B19">
        <v>1</v>
      </c>
      <c r="C19" t="s">
        <v>144</v>
      </c>
      <c r="D19" s="1">
        <f>E19*D$4</f>
        <v>73.736688759999993</v>
      </c>
      <c r="E19" s="1">
        <f>E20*100</f>
        <v>251.6</v>
      </c>
      <c r="F19" s="3" t="s">
        <v>156</v>
      </c>
    </row>
    <row r="20" spans="1:6" x14ac:dyDescent="0.2">
      <c r="A20" s="4" t="s">
        <v>90</v>
      </c>
      <c r="B20">
        <v>1</v>
      </c>
      <c r="C20" t="s">
        <v>146</v>
      </c>
      <c r="D20" s="1">
        <f t="shared" ref="D20:D27" si="1">E20*D$4</f>
        <v>0.73736688759999991</v>
      </c>
      <c r="E20" s="1">
        <v>2.516</v>
      </c>
    </row>
    <row r="21" spans="1:6" x14ac:dyDescent="0.2">
      <c r="A21" s="4" t="s">
        <v>90</v>
      </c>
      <c r="B21">
        <v>1</v>
      </c>
      <c r="C21" t="s">
        <v>157</v>
      </c>
      <c r="D21" s="1">
        <f t="shared" si="1"/>
        <v>32.145902048300393</v>
      </c>
      <c r="E21" s="1">
        <f>E22/0.8326741846</f>
        <v>109.68635954995355</v>
      </c>
      <c r="F21" s="3" t="s">
        <v>158</v>
      </c>
    </row>
    <row r="22" spans="1:6" x14ac:dyDescent="0.2">
      <c r="A22" s="4" t="s">
        <v>90</v>
      </c>
      <c r="B22">
        <v>1</v>
      </c>
      <c r="C22" t="s">
        <v>159</v>
      </c>
      <c r="D22" s="1">
        <f t="shared" si="1"/>
        <v>26.767062776299998</v>
      </c>
      <c r="E22" s="1">
        <v>91.332999999999998</v>
      </c>
      <c r="F22" s="3" t="s">
        <v>160</v>
      </c>
    </row>
    <row r="23" spans="1:6" x14ac:dyDescent="0.2">
      <c r="A23" s="4" t="s">
        <v>90</v>
      </c>
      <c r="B23">
        <v>1</v>
      </c>
      <c r="C23" t="s">
        <v>137</v>
      </c>
      <c r="D23" s="1">
        <f t="shared" si="1"/>
        <v>277.77780604905115</v>
      </c>
      <c r="E23" s="1">
        <f>E3</f>
        <v>947.81712031330005</v>
      </c>
    </row>
    <row r="24" spans="1:6" x14ac:dyDescent="0.2">
      <c r="A24" s="4" t="s">
        <v>90</v>
      </c>
      <c r="B24">
        <v>1</v>
      </c>
      <c r="C24" t="s">
        <v>139</v>
      </c>
      <c r="D24" s="1">
        <f t="shared" si="1"/>
        <v>0.29307109999999997</v>
      </c>
      <c r="E24" s="1">
        <v>1</v>
      </c>
    </row>
    <row r="25" spans="1:6" x14ac:dyDescent="0.2">
      <c r="A25" s="4" t="s">
        <v>90</v>
      </c>
      <c r="B25">
        <v>1</v>
      </c>
      <c r="C25" t="s">
        <v>150</v>
      </c>
      <c r="D25" s="1">
        <f t="shared" si="1"/>
        <v>737.36688759999993</v>
      </c>
      <c r="E25" s="1">
        <f>E20*1000</f>
        <v>2516</v>
      </c>
    </row>
    <row r="26" spans="1:6" x14ac:dyDescent="0.2">
      <c r="A26" s="4" t="s">
        <v>90</v>
      </c>
      <c r="B26">
        <v>1</v>
      </c>
      <c r="C26" t="s">
        <v>161</v>
      </c>
      <c r="D26" s="1">
        <f t="shared" si="1"/>
        <v>7.0711099092145684</v>
      </c>
      <c r="E26" s="1">
        <f>E22/3.785411784</f>
        <v>24.12762605802677</v>
      </c>
      <c r="F26" s="3" t="s">
        <v>158</v>
      </c>
    </row>
    <row r="27" spans="1:6" x14ac:dyDescent="0.2">
      <c r="A27" s="4" t="s">
        <v>90</v>
      </c>
      <c r="B27">
        <v>1</v>
      </c>
      <c r="C27" t="s">
        <v>141</v>
      </c>
      <c r="D27" s="1">
        <f t="shared" si="1"/>
        <v>293.0711</v>
      </c>
      <c r="E27" s="1">
        <v>1000</v>
      </c>
    </row>
    <row r="28" spans="1:6" x14ac:dyDescent="0.2">
      <c r="A28" s="4" t="s">
        <v>162</v>
      </c>
    </row>
    <row r="29" spans="1:6" x14ac:dyDescent="0.2">
      <c r="A29" s="4"/>
    </row>
    <row r="30" spans="1:6" x14ac:dyDescent="0.2">
      <c r="A30" s="5" t="s">
        <v>91</v>
      </c>
      <c r="B30">
        <v>1</v>
      </c>
      <c r="C30" t="s">
        <v>157</v>
      </c>
      <c r="D30" s="1">
        <f>E30*D$4</f>
        <v>48.569501118599995</v>
      </c>
      <c r="E30">
        <v>165.726</v>
      </c>
      <c r="F30" s="3" t="s">
        <v>156</v>
      </c>
    </row>
    <row r="31" spans="1:6" x14ac:dyDescent="0.2">
      <c r="A31" s="5" t="s">
        <v>91</v>
      </c>
      <c r="B31">
        <v>1</v>
      </c>
      <c r="C31" t="s">
        <v>159</v>
      </c>
      <c r="D31" s="1">
        <f t="shared" ref="D31:D35" si="2">E31*D$4</f>
        <v>40.443811799999999</v>
      </c>
      <c r="E31">
        <v>138</v>
      </c>
      <c r="F31" s="3" t="s">
        <v>163</v>
      </c>
    </row>
    <row r="32" spans="1:6" x14ac:dyDescent="0.2">
      <c r="A32" s="5" t="s">
        <v>91</v>
      </c>
      <c r="B32">
        <v>1</v>
      </c>
      <c r="C32" t="s">
        <v>137</v>
      </c>
      <c r="D32" s="1">
        <f t="shared" si="2"/>
        <v>277.77780604905115</v>
      </c>
      <c r="E32" s="1">
        <f>E3</f>
        <v>947.81712031330005</v>
      </c>
    </row>
    <row r="33" spans="1:6" x14ac:dyDescent="0.2">
      <c r="A33" s="5" t="s">
        <v>91</v>
      </c>
      <c r="B33">
        <v>1</v>
      </c>
      <c r="C33" t="s">
        <v>139</v>
      </c>
      <c r="D33" s="1">
        <f t="shared" si="2"/>
        <v>0.29307109999999997</v>
      </c>
      <c r="E33">
        <v>1</v>
      </c>
    </row>
    <row r="34" spans="1:6" x14ac:dyDescent="0.2">
      <c r="A34" s="5" t="s">
        <v>91</v>
      </c>
      <c r="B34">
        <v>1</v>
      </c>
      <c r="C34" t="s">
        <v>161</v>
      </c>
      <c r="D34" s="1">
        <f t="shared" si="2"/>
        <v>10.684200021600001</v>
      </c>
      <c r="E34">
        <v>36.456000000000003</v>
      </c>
      <c r="F34" s="3" t="s">
        <v>156</v>
      </c>
    </row>
    <row r="35" spans="1:6" x14ac:dyDescent="0.2">
      <c r="A35" s="5" t="s">
        <v>91</v>
      </c>
      <c r="B35">
        <v>1</v>
      </c>
      <c r="C35" t="s">
        <v>141</v>
      </c>
      <c r="D35" s="1">
        <f t="shared" si="2"/>
        <v>293.0711</v>
      </c>
      <c r="E35" s="1">
        <f>E6</f>
        <v>1000</v>
      </c>
    </row>
    <row r="36" spans="1:6" x14ac:dyDescent="0.2">
      <c r="A36" s="4"/>
    </row>
    <row r="37" spans="1:6" x14ac:dyDescent="0.2">
      <c r="A37" s="5" t="s">
        <v>92</v>
      </c>
      <c r="B37">
        <v>1</v>
      </c>
      <c r="C37" t="s">
        <v>157</v>
      </c>
      <c r="D37" s="1">
        <f>E37*D$4</f>
        <v>48.569501118599995</v>
      </c>
      <c r="E37">
        <v>165.726</v>
      </c>
      <c r="F37" s="3" t="s">
        <v>156</v>
      </c>
    </row>
    <row r="38" spans="1:6" x14ac:dyDescent="0.2">
      <c r="A38" s="5" t="s">
        <v>92</v>
      </c>
      <c r="B38">
        <v>1</v>
      </c>
      <c r="C38" t="s">
        <v>159</v>
      </c>
      <c r="D38" s="1">
        <f t="shared" ref="D38:D101" si="3">E38*D$4</f>
        <v>40.443811799999999</v>
      </c>
      <c r="E38">
        <v>138</v>
      </c>
      <c r="F38" s="3" t="s">
        <v>156</v>
      </c>
    </row>
    <row r="39" spans="1:6" x14ac:dyDescent="0.2">
      <c r="A39" s="5" t="s">
        <v>92</v>
      </c>
      <c r="B39">
        <v>1</v>
      </c>
      <c r="C39" t="s">
        <v>137</v>
      </c>
      <c r="D39" s="1">
        <f t="shared" si="3"/>
        <v>277.77780604905115</v>
      </c>
      <c r="E39" s="1">
        <f>E3</f>
        <v>947.81712031330005</v>
      </c>
    </row>
    <row r="40" spans="1:6" x14ac:dyDescent="0.2">
      <c r="A40" s="5" t="s">
        <v>92</v>
      </c>
      <c r="B40">
        <v>1</v>
      </c>
      <c r="C40" t="s">
        <v>139</v>
      </c>
      <c r="D40" s="1">
        <f t="shared" si="3"/>
        <v>0.29307109999999997</v>
      </c>
      <c r="E40">
        <v>1</v>
      </c>
    </row>
    <row r="41" spans="1:6" x14ac:dyDescent="0.2">
      <c r="A41" s="5" t="s">
        <v>92</v>
      </c>
      <c r="B41">
        <v>1</v>
      </c>
      <c r="C41" t="s">
        <v>161</v>
      </c>
      <c r="D41" s="1">
        <f t="shared" si="3"/>
        <v>10.684200021600001</v>
      </c>
      <c r="E41">
        <v>36.456000000000003</v>
      </c>
      <c r="F41" s="3" t="s">
        <v>156</v>
      </c>
    </row>
    <row r="42" spans="1:6" x14ac:dyDescent="0.2">
      <c r="A42" s="5" t="s">
        <v>92</v>
      </c>
      <c r="B42">
        <v>1</v>
      </c>
      <c r="C42" t="s">
        <v>141</v>
      </c>
      <c r="D42" s="1">
        <f t="shared" si="3"/>
        <v>293.0711</v>
      </c>
      <c r="E42" s="1">
        <f>E6</f>
        <v>1000</v>
      </c>
    </row>
    <row r="43" spans="1:6" x14ac:dyDescent="0.2">
      <c r="A43" s="5"/>
    </row>
    <row r="44" spans="1:6" x14ac:dyDescent="0.2">
      <c r="A44" s="5" t="s">
        <v>101</v>
      </c>
      <c r="B44">
        <v>1</v>
      </c>
      <c r="C44" t="s">
        <v>137</v>
      </c>
      <c r="D44" s="1">
        <f t="shared" si="3"/>
        <v>277.77780604905115</v>
      </c>
      <c r="E44" s="1">
        <f>E3</f>
        <v>947.81712031330005</v>
      </c>
    </row>
    <row r="45" spans="1:6" x14ac:dyDescent="0.2">
      <c r="A45" s="5" t="s">
        <v>101</v>
      </c>
      <c r="B45">
        <v>1</v>
      </c>
      <c r="C45" t="s">
        <v>139</v>
      </c>
      <c r="D45" s="1">
        <f t="shared" si="3"/>
        <v>0.29307109999999997</v>
      </c>
      <c r="E45">
        <v>1</v>
      </c>
    </row>
    <row r="46" spans="1:6" x14ac:dyDescent="0.2">
      <c r="A46" s="5" t="s">
        <v>101</v>
      </c>
      <c r="B46">
        <v>1</v>
      </c>
      <c r="C46" t="s">
        <v>164</v>
      </c>
      <c r="D46" s="1">
        <f t="shared" si="3"/>
        <v>0.77136313519999999</v>
      </c>
      <c r="E46">
        <v>2.6320000000000001</v>
      </c>
      <c r="F46" s="3" t="s">
        <v>156</v>
      </c>
    </row>
    <row r="47" spans="1:6" x14ac:dyDescent="0.2">
      <c r="A47" s="5" t="s">
        <v>101</v>
      </c>
      <c r="B47">
        <v>1</v>
      </c>
      <c r="C47" t="s">
        <v>165</v>
      </c>
      <c r="D47" s="1">
        <f t="shared" si="3"/>
        <v>349.92689339999998</v>
      </c>
      <c r="E47">
        <v>1194</v>
      </c>
    </row>
    <row r="48" spans="1:6" x14ac:dyDescent="0.2">
      <c r="A48" s="5" t="s">
        <v>101</v>
      </c>
      <c r="B48">
        <v>1</v>
      </c>
      <c r="C48" t="s">
        <v>166</v>
      </c>
      <c r="D48" s="1">
        <f t="shared" si="3"/>
        <v>0.34992689339999994</v>
      </c>
      <c r="E48">
        <v>1.194</v>
      </c>
      <c r="F48" s="3" t="s">
        <v>156</v>
      </c>
    </row>
    <row r="49" spans="1:6" x14ac:dyDescent="0.2">
      <c r="A49" s="5" t="s">
        <v>101</v>
      </c>
      <c r="B49">
        <v>1</v>
      </c>
      <c r="C49" t="s">
        <v>141</v>
      </c>
      <c r="D49" s="1">
        <f t="shared" si="3"/>
        <v>293.0711</v>
      </c>
      <c r="E49">
        <v>1000</v>
      </c>
    </row>
    <row r="50" spans="1:6" x14ac:dyDescent="0.2">
      <c r="A50" s="5" t="s">
        <v>101</v>
      </c>
      <c r="B50">
        <v>1</v>
      </c>
      <c r="C50" t="s">
        <v>167</v>
      </c>
      <c r="D50" s="1">
        <f t="shared" si="3"/>
        <v>349926.89339999994</v>
      </c>
      <c r="E50">
        <f>E47*1000</f>
        <v>1194000</v>
      </c>
    </row>
    <row r="51" spans="1:6" x14ac:dyDescent="0.2">
      <c r="A51" s="5" t="s">
        <v>101</v>
      </c>
      <c r="B51">
        <v>1</v>
      </c>
      <c r="C51" t="s">
        <v>154</v>
      </c>
      <c r="D51" s="1">
        <f t="shared" si="3"/>
        <v>29.307109999999998</v>
      </c>
      <c r="E51">
        <v>100</v>
      </c>
    </row>
    <row r="52" spans="1:6" x14ac:dyDescent="0.2">
      <c r="A52" s="5"/>
    </row>
    <row r="53" spans="1:6" x14ac:dyDescent="0.2">
      <c r="A53" s="5" t="s">
        <v>102</v>
      </c>
      <c r="B53">
        <v>1</v>
      </c>
      <c r="C53" t="s">
        <v>137</v>
      </c>
      <c r="D53" s="1">
        <f t="shared" si="3"/>
        <v>277.77780604905115</v>
      </c>
      <c r="E53" s="1">
        <f>E3</f>
        <v>947.81712031330005</v>
      </c>
    </row>
    <row r="54" spans="1:6" x14ac:dyDescent="0.2">
      <c r="A54" s="5" t="s">
        <v>102</v>
      </c>
      <c r="B54">
        <v>1</v>
      </c>
      <c r="C54" t="s">
        <v>139</v>
      </c>
      <c r="D54" s="1">
        <f t="shared" si="3"/>
        <v>0.29307109999999997</v>
      </c>
      <c r="E54" s="1">
        <f>E4</f>
        <v>1</v>
      </c>
    </row>
    <row r="55" spans="1:6" x14ac:dyDescent="0.2">
      <c r="A55" s="5" t="s">
        <v>102</v>
      </c>
      <c r="B55">
        <v>1</v>
      </c>
      <c r="C55" t="s">
        <v>141</v>
      </c>
      <c r="D55" s="1">
        <f t="shared" si="3"/>
        <v>293.0711</v>
      </c>
      <c r="E55">
        <v>1000</v>
      </c>
    </row>
    <row r="56" spans="1:6" x14ac:dyDescent="0.2">
      <c r="A56" s="5" t="s">
        <v>102</v>
      </c>
      <c r="B56">
        <v>1</v>
      </c>
      <c r="C56" t="s">
        <v>154</v>
      </c>
      <c r="D56" s="1">
        <f t="shared" si="3"/>
        <v>29.307109999999998</v>
      </c>
      <c r="E56">
        <v>100</v>
      </c>
    </row>
    <row r="57" spans="1:6" x14ac:dyDescent="0.2">
      <c r="A57" s="5"/>
    </row>
    <row r="58" spans="1:6" x14ac:dyDescent="0.2">
      <c r="A58" s="5" t="s">
        <v>168</v>
      </c>
      <c r="B58">
        <v>1</v>
      </c>
      <c r="C58" t="s">
        <v>137</v>
      </c>
      <c r="D58" s="1">
        <f t="shared" si="3"/>
        <v>277.77780604905115</v>
      </c>
      <c r="E58" s="1">
        <f>E3</f>
        <v>947.81712031330005</v>
      </c>
    </row>
    <row r="59" spans="1:6" x14ac:dyDescent="0.2">
      <c r="A59" s="5" t="s">
        <v>168</v>
      </c>
      <c r="B59">
        <v>1</v>
      </c>
      <c r="C59" t="s">
        <v>139</v>
      </c>
      <c r="D59" s="1">
        <f t="shared" si="3"/>
        <v>0.29307109999999997</v>
      </c>
      <c r="E59" s="1">
        <f>E4</f>
        <v>1</v>
      </c>
    </row>
    <row r="60" spans="1:6" x14ac:dyDescent="0.2">
      <c r="A60" s="5" t="s">
        <v>168</v>
      </c>
      <c r="B60">
        <v>1</v>
      </c>
      <c r="C60" t="s">
        <v>141</v>
      </c>
      <c r="D60" s="1">
        <f t="shared" si="3"/>
        <v>293.0711</v>
      </c>
      <c r="E60">
        <v>1000</v>
      </c>
    </row>
    <row r="61" spans="1:6" x14ac:dyDescent="0.2">
      <c r="A61" s="5" t="s">
        <v>168</v>
      </c>
      <c r="B61">
        <v>1</v>
      </c>
      <c r="C61" t="s">
        <v>169</v>
      </c>
      <c r="D61" s="1">
        <f t="shared" si="3"/>
        <v>3.5168531999999999</v>
      </c>
      <c r="E61">
        <v>12</v>
      </c>
      <c r="F61" s="3" t="s">
        <v>156</v>
      </c>
    </row>
    <row r="62" spans="1:6" x14ac:dyDescent="0.2">
      <c r="A62" s="4"/>
    </row>
    <row r="63" spans="1:6" x14ac:dyDescent="0.2">
      <c r="A63" s="5" t="s">
        <v>93</v>
      </c>
      <c r="B63">
        <v>1</v>
      </c>
      <c r="C63" t="s">
        <v>157</v>
      </c>
      <c r="D63" s="1">
        <f t="shared" si="3"/>
        <v>51.385035176299994</v>
      </c>
      <c r="E63">
        <v>175.333</v>
      </c>
      <c r="F63" s="3" t="s">
        <v>156</v>
      </c>
    </row>
    <row r="64" spans="1:6" x14ac:dyDescent="0.2">
      <c r="A64" s="5" t="s">
        <v>93</v>
      </c>
      <c r="B64">
        <v>1</v>
      </c>
      <c r="C64" t="s">
        <v>159</v>
      </c>
      <c r="D64" s="1">
        <f t="shared" si="3"/>
        <v>42.788380599999996</v>
      </c>
      <c r="E64">
        <v>146</v>
      </c>
      <c r="F64" s="3" t="s">
        <v>163</v>
      </c>
    </row>
    <row r="65" spans="1:6" x14ac:dyDescent="0.2">
      <c r="A65" s="5" t="s">
        <v>93</v>
      </c>
      <c r="B65">
        <v>1</v>
      </c>
      <c r="C65" t="s">
        <v>137</v>
      </c>
      <c r="D65" s="1">
        <f t="shared" si="3"/>
        <v>277.77780604905115</v>
      </c>
      <c r="E65" s="1">
        <f>E3</f>
        <v>947.81712031330005</v>
      </c>
    </row>
    <row r="66" spans="1:6" x14ac:dyDescent="0.2">
      <c r="A66" s="5" t="s">
        <v>93</v>
      </c>
      <c r="B66">
        <v>1</v>
      </c>
      <c r="C66" t="s">
        <v>139</v>
      </c>
      <c r="D66" s="1">
        <f t="shared" si="3"/>
        <v>0.29307109999999997</v>
      </c>
      <c r="E66">
        <v>1</v>
      </c>
    </row>
    <row r="67" spans="1:6" x14ac:dyDescent="0.2">
      <c r="A67" s="5" t="s">
        <v>93</v>
      </c>
      <c r="B67">
        <v>1</v>
      </c>
      <c r="C67" t="s">
        <v>161</v>
      </c>
      <c r="D67" s="1">
        <f t="shared" si="3"/>
        <v>11.3034592559</v>
      </c>
      <c r="E67">
        <v>38.569000000000003</v>
      </c>
      <c r="F67" s="3" t="s">
        <v>156</v>
      </c>
    </row>
    <row r="68" spans="1:6" x14ac:dyDescent="0.2">
      <c r="A68" s="5" t="s">
        <v>93</v>
      </c>
      <c r="B68">
        <v>1</v>
      </c>
      <c r="C68" t="s">
        <v>141</v>
      </c>
      <c r="D68" s="1">
        <f t="shared" si="3"/>
        <v>293.0711</v>
      </c>
      <c r="E68">
        <v>1000</v>
      </c>
    </row>
    <row r="69" spans="1:6" x14ac:dyDescent="0.2">
      <c r="A69" s="4"/>
    </row>
    <row r="70" spans="1:6" x14ac:dyDescent="0.2">
      <c r="A70" s="5" t="s">
        <v>94</v>
      </c>
      <c r="B70">
        <v>1</v>
      </c>
      <c r="C70" t="s">
        <v>157</v>
      </c>
      <c r="D70" s="1">
        <f t="shared" si="3"/>
        <v>52.792948740699998</v>
      </c>
      <c r="E70">
        <v>180.137</v>
      </c>
      <c r="F70" s="3" t="s">
        <v>156</v>
      </c>
    </row>
    <row r="71" spans="1:6" x14ac:dyDescent="0.2">
      <c r="A71" s="5" t="s">
        <v>94</v>
      </c>
      <c r="B71">
        <v>1</v>
      </c>
      <c r="C71" t="s">
        <v>159</v>
      </c>
      <c r="D71" s="1">
        <f t="shared" si="3"/>
        <v>43.960664999999999</v>
      </c>
      <c r="E71">
        <v>150</v>
      </c>
      <c r="F71" s="3" t="s">
        <v>156</v>
      </c>
    </row>
    <row r="72" spans="1:6" x14ac:dyDescent="0.2">
      <c r="A72" s="5" t="s">
        <v>94</v>
      </c>
      <c r="B72">
        <v>1</v>
      </c>
      <c r="C72" t="s">
        <v>137</v>
      </c>
      <c r="D72" s="1">
        <f t="shared" si="3"/>
        <v>277.77780604905115</v>
      </c>
      <c r="E72" s="1">
        <f>E3</f>
        <v>947.81712031330005</v>
      </c>
    </row>
    <row r="73" spans="1:6" x14ac:dyDescent="0.2">
      <c r="A73" s="5" t="s">
        <v>94</v>
      </c>
      <c r="B73">
        <v>1</v>
      </c>
      <c r="C73" t="s">
        <v>139</v>
      </c>
      <c r="D73" s="1">
        <f t="shared" si="3"/>
        <v>0.29307109999999997</v>
      </c>
      <c r="E73" s="1">
        <f>E4</f>
        <v>1</v>
      </c>
    </row>
    <row r="74" spans="1:6" x14ac:dyDescent="0.2">
      <c r="A74" s="5" t="s">
        <v>94</v>
      </c>
      <c r="B74">
        <v>1</v>
      </c>
      <c r="C74" t="s">
        <v>161</v>
      </c>
      <c r="D74" s="1">
        <f t="shared" si="3"/>
        <v>11.613235408599998</v>
      </c>
      <c r="E74">
        <v>39.625999999999998</v>
      </c>
      <c r="F74" s="3" t="s">
        <v>156</v>
      </c>
    </row>
    <row r="75" spans="1:6" x14ac:dyDescent="0.2">
      <c r="A75" s="5" t="s">
        <v>94</v>
      </c>
      <c r="B75">
        <v>1</v>
      </c>
      <c r="C75" t="s">
        <v>141</v>
      </c>
      <c r="D75" s="1">
        <f t="shared" si="3"/>
        <v>293.0711</v>
      </c>
      <c r="E75">
        <v>1000</v>
      </c>
      <c r="F75" s="3"/>
    </row>
    <row r="76" spans="1:6" x14ac:dyDescent="0.2">
      <c r="A76" s="4"/>
    </row>
    <row r="77" spans="1:6" x14ac:dyDescent="0.2">
      <c r="A77" s="5" t="s">
        <v>95</v>
      </c>
      <c r="B77">
        <v>1</v>
      </c>
      <c r="C77" t="s">
        <v>137</v>
      </c>
      <c r="D77" s="1">
        <f t="shared" si="3"/>
        <v>277.77780604905115</v>
      </c>
      <c r="E77" s="1">
        <f>E72</f>
        <v>947.81712031330005</v>
      </c>
    </row>
    <row r="78" spans="1:6" x14ac:dyDescent="0.2">
      <c r="A78" s="5" t="s">
        <v>95</v>
      </c>
      <c r="B78">
        <v>1</v>
      </c>
      <c r="C78" t="s">
        <v>139</v>
      </c>
      <c r="D78" s="1">
        <f t="shared" si="3"/>
        <v>0.29307109999999997</v>
      </c>
      <c r="E78" s="1">
        <f>E73</f>
        <v>1</v>
      </c>
    </row>
    <row r="79" spans="1:6" x14ac:dyDescent="0.2">
      <c r="A79" s="5" t="s">
        <v>95</v>
      </c>
      <c r="B79">
        <v>1</v>
      </c>
      <c r="C79" t="s">
        <v>165</v>
      </c>
      <c r="D79" s="1">
        <f t="shared" si="3"/>
        <v>3676.5769494999995</v>
      </c>
      <c r="E79">
        <v>12545</v>
      </c>
      <c r="F79" s="3" t="s">
        <v>156</v>
      </c>
    </row>
    <row r="80" spans="1:6" x14ac:dyDescent="0.2">
      <c r="A80" s="5" t="s">
        <v>95</v>
      </c>
      <c r="B80">
        <v>1</v>
      </c>
      <c r="C80" t="s">
        <v>166</v>
      </c>
      <c r="D80" s="1">
        <f t="shared" si="3"/>
        <v>3.6765769494999998</v>
      </c>
      <c r="E80">
        <v>12.545</v>
      </c>
      <c r="F80" s="3" t="s">
        <v>156</v>
      </c>
    </row>
    <row r="81" spans="1:6" x14ac:dyDescent="0.2">
      <c r="A81" s="5" t="s">
        <v>95</v>
      </c>
      <c r="B81">
        <v>1</v>
      </c>
      <c r="C81" t="s">
        <v>141</v>
      </c>
      <c r="D81" s="1">
        <f t="shared" si="3"/>
        <v>293.0711</v>
      </c>
      <c r="E81">
        <f>E75</f>
        <v>1000</v>
      </c>
    </row>
    <row r="82" spans="1:6" x14ac:dyDescent="0.2">
      <c r="A82" s="5" t="s">
        <v>95</v>
      </c>
      <c r="B82">
        <v>1</v>
      </c>
      <c r="C82" t="s">
        <v>167</v>
      </c>
      <c r="D82" s="1">
        <f t="shared" si="3"/>
        <v>3676576.9494999996</v>
      </c>
      <c r="E82">
        <f>E79*1000</f>
        <v>12545000</v>
      </c>
      <c r="F82" s="3" t="s">
        <v>156</v>
      </c>
    </row>
    <row r="83" spans="1:6" x14ac:dyDescent="0.2">
      <c r="A83" s="5" t="s">
        <v>95</v>
      </c>
      <c r="B83">
        <v>1</v>
      </c>
      <c r="C83" t="s">
        <v>170</v>
      </c>
      <c r="D83" s="1">
        <f t="shared" si="3"/>
        <v>8105.8645240404994</v>
      </c>
      <c r="E83">
        <v>27658.355</v>
      </c>
      <c r="F83" s="3" t="s">
        <v>156</v>
      </c>
    </row>
    <row r="84" spans="1:6" x14ac:dyDescent="0.2">
      <c r="A84" s="5" t="s">
        <v>95</v>
      </c>
      <c r="B84">
        <v>1</v>
      </c>
      <c r="C84" t="s">
        <v>171</v>
      </c>
      <c r="D84" s="1">
        <f t="shared" si="3"/>
        <v>7353.153898999999</v>
      </c>
      <c r="E84">
        <v>25090</v>
      </c>
      <c r="F84" s="3" t="s">
        <v>163</v>
      </c>
    </row>
    <row r="85" spans="1:6" x14ac:dyDescent="0.2">
      <c r="A85" s="4"/>
    </row>
    <row r="86" spans="1:6" x14ac:dyDescent="0.2">
      <c r="A86" s="4" t="s">
        <v>96</v>
      </c>
      <c r="B86">
        <v>1</v>
      </c>
      <c r="C86" t="s">
        <v>137</v>
      </c>
      <c r="D86" s="1">
        <f t="shared" si="3"/>
        <v>277.77780604905115</v>
      </c>
      <c r="E86">
        <v>947.81712031330005</v>
      </c>
    </row>
    <row r="87" spans="1:6" x14ac:dyDescent="0.2">
      <c r="A87" s="4" t="s">
        <v>96</v>
      </c>
      <c r="B87">
        <v>1</v>
      </c>
      <c r="C87" t="s">
        <v>139</v>
      </c>
      <c r="D87" s="1">
        <f t="shared" si="3"/>
        <v>0.29307109999999997</v>
      </c>
      <c r="E87">
        <v>1</v>
      </c>
    </row>
    <row r="88" spans="1:6" x14ac:dyDescent="0.2">
      <c r="A88" s="4" t="s">
        <v>96</v>
      </c>
      <c r="B88">
        <v>1</v>
      </c>
      <c r="C88" t="s">
        <v>165</v>
      </c>
      <c r="D88" s="1">
        <f t="shared" si="3"/>
        <v>3653.1312614999997</v>
      </c>
      <c r="E88">
        <v>12465</v>
      </c>
      <c r="F88" s="3" t="s">
        <v>156</v>
      </c>
    </row>
    <row r="89" spans="1:6" x14ac:dyDescent="0.2">
      <c r="A89" s="4" t="s">
        <v>96</v>
      </c>
      <c r="B89">
        <v>1</v>
      </c>
      <c r="C89" t="s">
        <v>166</v>
      </c>
      <c r="D89" s="1">
        <f t="shared" si="3"/>
        <v>3.6531312614999996</v>
      </c>
      <c r="E89">
        <v>12.465</v>
      </c>
      <c r="F89" s="3" t="s">
        <v>156</v>
      </c>
    </row>
    <row r="90" spans="1:6" x14ac:dyDescent="0.2">
      <c r="A90" s="4" t="s">
        <v>96</v>
      </c>
      <c r="B90">
        <v>1</v>
      </c>
      <c r="C90" t="s">
        <v>141</v>
      </c>
      <c r="D90" s="1">
        <f t="shared" si="3"/>
        <v>293.0711</v>
      </c>
      <c r="E90" s="1">
        <f>E6</f>
        <v>1000</v>
      </c>
    </row>
    <row r="91" spans="1:6" x14ac:dyDescent="0.2">
      <c r="A91" s="4" t="s">
        <v>96</v>
      </c>
      <c r="B91">
        <v>1</v>
      </c>
      <c r="C91" t="s">
        <v>167</v>
      </c>
      <c r="D91" s="1">
        <f t="shared" si="3"/>
        <v>3653131.2614999996</v>
      </c>
      <c r="E91">
        <f>E88*1000</f>
        <v>12465000</v>
      </c>
      <c r="F91" s="3" t="s">
        <v>156</v>
      </c>
    </row>
    <row r="92" spans="1:6" x14ac:dyDescent="0.2">
      <c r="A92" s="4" t="s">
        <v>96</v>
      </c>
      <c r="B92">
        <v>1</v>
      </c>
      <c r="C92" t="s">
        <v>170</v>
      </c>
      <c r="D92" s="1">
        <f t="shared" si="3"/>
        <v>8054.1799701999989</v>
      </c>
      <c r="E92">
        <v>27482</v>
      </c>
      <c r="F92" s="3" t="s">
        <v>156</v>
      </c>
    </row>
    <row r="93" spans="1:6" x14ac:dyDescent="0.2">
      <c r="A93" s="4" t="s">
        <v>96</v>
      </c>
      <c r="B93">
        <v>1</v>
      </c>
      <c r="C93" t="s">
        <v>171</v>
      </c>
      <c r="D93" s="1">
        <f t="shared" si="3"/>
        <v>7306.2625229999994</v>
      </c>
      <c r="E93">
        <v>24930</v>
      </c>
      <c r="F93" s="3" t="s">
        <v>163</v>
      </c>
    </row>
    <row r="94" spans="1:6" x14ac:dyDescent="0.2">
      <c r="A94" s="4"/>
    </row>
    <row r="95" spans="1:6" x14ac:dyDescent="0.2">
      <c r="A95" s="4" t="s">
        <v>97</v>
      </c>
      <c r="B95">
        <v>1</v>
      </c>
      <c r="C95" t="s">
        <v>137</v>
      </c>
      <c r="D95" s="1">
        <f t="shared" si="3"/>
        <v>277.77780604905115</v>
      </c>
      <c r="E95">
        <v>947.81712031330005</v>
      </c>
    </row>
    <row r="96" spans="1:6" x14ac:dyDescent="0.2">
      <c r="A96" s="4" t="s">
        <v>97</v>
      </c>
      <c r="B96">
        <v>1</v>
      </c>
      <c r="C96" t="s">
        <v>139</v>
      </c>
      <c r="D96" s="1">
        <f t="shared" si="3"/>
        <v>0.29307109999999997</v>
      </c>
      <c r="E96">
        <v>1</v>
      </c>
    </row>
    <row r="97" spans="1:6" x14ac:dyDescent="0.2">
      <c r="A97" s="4" t="s">
        <v>97</v>
      </c>
      <c r="B97">
        <v>1</v>
      </c>
      <c r="C97" t="s">
        <v>165</v>
      </c>
      <c r="D97" s="1">
        <f t="shared" si="3"/>
        <v>3634.0816399999999</v>
      </c>
      <c r="E97">
        <v>12400</v>
      </c>
      <c r="F97" s="3" t="s">
        <v>156</v>
      </c>
    </row>
    <row r="98" spans="1:6" x14ac:dyDescent="0.2">
      <c r="A98" s="4" t="s">
        <v>97</v>
      </c>
      <c r="B98">
        <v>1</v>
      </c>
      <c r="C98" t="s">
        <v>166</v>
      </c>
      <c r="D98" s="1">
        <f t="shared" si="3"/>
        <v>3.6340816399999998</v>
      </c>
      <c r="E98">
        <v>12.4</v>
      </c>
      <c r="F98" s="3" t="s">
        <v>156</v>
      </c>
    </row>
    <row r="99" spans="1:6" x14ac:dyDescent="0.2">
      <c r="A99" s="4" t="s">
        <v>97</v>
      </c>
      <c r="B99">
        <v>1</v>
      </c>
      <c r="C99" t="s">
        <v>141</v>
      </c>
      <c r="D99" s="1">
        <f t="shared" si="3"/>
        <v>293.0711</v>
      </c>
      <c r="E99" s="1">
        <f>E6</f>
        <v>1000</v>
      </c>
    </row>
    <row r="100" spans="1:6" x14ac:dyDescent="0.2">
      <c r="A100" s="4" t="s">
        <v>97</v>
      </c>
      <c r="B100">
        <v>1</v>
      </c>
      <c r="C100" t="s">
        <v>167</v>
      </c>
      <c r="D100" s="1">
        <f t="shared" si="3"/>
        <v>3634081.6399999997</v>
      </c>
      <c r="E100">
        <f>E97*1000</f>
        <v>12400000</v>
      </c>
      <c r="F100" s="3" t="s">
        <v>156</v>
      </c>
    </row>
    <row r="101" spans="1:6" x14ac:dyDescent="0.2">
      <c r="A101" s="4" t="s">
        <v>97</v>
      </c>
      <c r="B101">
        <v>1</v>
      </c>
      <c r="C101" t="s">
        <v>170</v>
      </c>
      <c r="D101" s="1">
        <f t="shared" si="3"/>
        <v>8012.2708028999996</v>
      </c>
      <c r="E101">
        <v>27339</v>
      </c>
      <c r="F101" s="3" t="s">
        <v>156</v>
      </c>
    </row>
    <row r="102" spans="1:6" x14ac:dyDescent="0.2">
      <c r="A102" s="4" t="s">
        <v>97</v>
      </c>
      <c r="B102">
        <v>1</v>
      </c>
      <c r="C102" t="s">
        <v>171</v>
      </c>
      <c r="D102" s="1">
        <f t="shared" ref="D102" si="4">E102*D$4</f>
        <v>7268.1632799999998</v>
      </c>
      <c r="E102">
        <v>24800</v>
      </c>
      <c r="F102" s="3" t="s">
        <v>156</v>
      </c>
    </row>
    <row r="103" spans="1:6" x14ac:dyDescent="0.2">
      <c r="A103" s="4"/>
    </row>
    <row r="104" spans="1:6" x14ac:dyDescent="0.2">
      <c r="A104" s="4" t="s">
        <v>98</v>
      </c>
      <c r="B104">
        <v>1</v>
      </c>
      <c r="C104" t="s">
        <v>137</v>
      </c>
      <c r="D104" s="1">
        <f>E104*D$4</f>
        <v>277.77780604905115</v>
      </c>
      <c r="E104">
        <f>E95</f>
        <v>947.81712031330005</v>
      </c>
    </row>
    <row r="105" spans="1:6" x14ac:dyDescent="0.2">
      <c r="A105" s="4" t="s">
        <v>98</v>
      </c>
      <c r="B105">
        <v>1</v>
      </c>
      <c r="C105" t="s">
        <v>139</v>
      </c>
      <c r="D105" s="1">
        <f t="shared" ref="D105:D122" si="5">E105*D$4</f>
        <v>0.29307109999999997</v>
      </c>
      <c r="E105">
        <v>1</v>
      </c>
    </row>
    <row r="106" spans="1:6" x14ac:dyDescent="0.2">
      <c r="A106" s="4" t="s">
        <v>98</v>
      </c>
      <c r="B106">
        <v>1</v>
      </c>
      <c r="C106" t="s">
        <v>172</v>
      </c>
      <c r="D106" s="1">
        <f>E106*D$4</f>
        <v>293.0711</v>
      </c>
      <c r="E106">
        <v>1000</v>
      </c>
    </row>
    <row r="107" spans="1:6" x14ac:dyDescent="0.2">
      <c r="A107" s="4" t="s">
        <v>98</v>
      </c>
      <c r="B107">
        <v>1</v>
      </c>
      <c r="C107" t="s">
        <v>170</v>
      </c>
      <c r="D107" s="1">
        <f t="shared" si="5"/>
        <v>4647.2284326999998</v>
      </c>
      <c r="E107">
        <v>15857</v>
      </c>
      <c r="F107" s="3" t="s">
        <v>156</v>
      </c>
    </row>
    <row r="108" spans="1:6" x14ac:dyDescent="0.2">
      <c r="A108" s="4" t="s">
        <v>98</v>
      </c>
      <c r="B108">
        <v>1</v>
      </c>
      <c r="C108" t="s">
        <v>171</v>
      </c>
      <c r="D108" s="1">
        <f t="shared" si="5"/>
        <v>5122.8828279999998</v>
      </c>
      <c r="E108">
        <v>17480</v>
      </c>
      <c r="F108" s="3" t="s">
        <v>163</v>
      </c>
    </row>
    <row r="109" spans="1:6" x14ac:dyDescent="0.2">
      <c r="A109" s="4"/>
    </row>
    <row r="110" spans="1:6" x14ac:dyDescent="0.2">
      <c r="A110" s="5" t="s">
        <v>99</v>
      </c>
      <c r="B110">
        <v>1</v>
      </c>
      <c r="C110" t="s">
        <v>157</v>
      </c>
      <c r="D110" s="1">
        <f t="shared" si="5"/>
        <v>47.513565945299995</v>
      </c>
      <c r="E110">
        <v>162.12299999999999</v>
      </c>
      <c r="F110" s="3" t="s">
        <v>156</v>
      </c>
    </row>
    <row r="111" spans="1:6" x14ac:dyDescent="0.2">
      <c r="A111" s="5" t="s">
        <v>99</v>
      </c>
      <c r="B111">
        <v>1</v>
      </c>
      <c r="C111" t="s">
        <v>159</v>
      </c>
      <c r="D111" s="1">
        <f t="shared" si="5"/>
        <v>39.564598499999995</v>
      </c>
      <c r="E111">
        <v>135</v>
      </c>
      <c r="F111" s="3" t="s">
        <v>163</v>
      </c>
    </row>
    <row r="112" spans="1:6" x14ac:dyDescent="0.2">
      <c r="A112" s="5" t="s">
        <v>99</v>
      </c>
      <c r="B112">
        <v>1</v>
      </c>
      <c r="C112" t="s">
        <v>137</v>
      </c>
      <c r="D112" s="1">
        <f t="shared" si="5"/>
        <v>277.77780604905115</v>
      </c>
      <c r="E112">
        <f>E104</f>
        <v>947.81712031330005</v>
      </c>
    </row>
    <row r="113" spans="1:6" x14ac:dyDescent="0.2">
      <c r="A113" s="5" t="s">
        <v>99</v>
      </c>
      <c r="B113">
        <v>1</v>
      </c>
      <c r="C113" t="s">
        <v>139</v>
      </c>
      <c r="D113" s="1">
        <f t="shared" si="5"/>
        <v>0.29307109999999997</v>
      </c>
      <c r="E113">
        <v>1</v>
      </c>
    </row>
    <row r="114" spans="1:6" x14ac:dyDescent="0.2">
      <c r="A114" s="5" t="s">
        <v>99</v>
      </c>
      <c r="B114">
        <v>1</v>
      </c>
      <c r="C114" t="s">
        <v>161</v>
      </c>
      <c r="D114" s="1">
        <f t="shared" si="5"/>
        <v>10.451794639299997</v>
      </c>
      <c r="E114">
        <v>35.662999999999997</v>
      </c>
      <c r="F114" s="3" t="s">
        <v>156</v>
      </c>
    </row>
    <row r="115" spans="1:6" x14ac:dyDescent="0.2">
      <c r="A115" s="5" t="s">
        <v>99</v>
      </c>
      <c r="B115">
        <v>1</v>
      </c>
      <c r="C115" t="s">
        <v>141</v>
      </c>
      <c r="D115" s="1">
        <f t="shared" si="5"/>
        <v>293.0711</v>
      </c>
      <c r="E115">
        <v>1000</v>
      </c>
    </row>
    <row r="116" spans="1:6" x14ac:dyDescent="0.2">
      <c r="A116" s="4"/>
    </row>
    <row r="117" spans="1:6" x14ac:dyDescent="0.2">
      <c r="A117" s="4" t="s">
        <v>100</v>
      </c>
      <c r="B117">
        <v>1</v>
      </c>
      <c r="C117" t="s">
        <v>157</v>
      </c>
      <c r="D117" s="1">
        <f t="shared" si="5"/>
        <v>48.921479509699992</v>
      </c>
      <c r="E117">
        <v>166.92699999999999</v>
      </c>
      <c r="F117" s="3" t="s">
        <v>156</v>
      </c>
    </row>
    <row r="118" spans="1:6" x14ac:dyDescent="0.2">
      <c r="A118" s="4" t="s">
        <v>100</v>
      </c>
      <c r="B118">
        <v>1</v>
      </c>
      <c r="C118" t="s">
        <v>159</v>
      </c>
      <c r="D118" s="1">
        <f t="shared" si="5"/>
        <v>40.736882899999998</v>
      </c>
      <c r="E118">
        <v>139</v>
      </c>
      <c r="F118" s="3" t="s">
        <v>163</v>
      </c>
    </row>
    <row r="119" spans="1:6" x14ac:dyDescent="0.2">
      <c r="A119" s="4" t="s">
        <v>100</v>
      </c>
      <c r="B119">
        <v>1</v>
      </c>
      <c r="C119" t="s">
        <v>137</v>
      </c>
      <c r="D119" s="1">
        <f t="shared" si="5"/>
        <v>277.77780604905115</v>
      </c>
      <c r="E119">
        <f>E112</f>
        <v>947.81712031330005</v>
      </c>
    </row>
    <row r="120" spans="1:6" x14ac:dyDescent="0.2">
      <c r="A120" s="4" t="s">
        <v>100</v>
      </c>
      <c r="B120">
        <v>1</v>
      </c>
      <c r="C120" t="s">
        <v>139</v>
      </c>
      <c r="D120" s="1">
        <f t="shared" si="5"/>
        <v>0.29307109999999997</v>
      </c>
      <c r="E120">
        <v>1</v>
      </c>
    </row>
    <row r="121" spans="1:6" x14ac:dyDescent="0.2">
      <c r="A121" s="4" t="s">
        <v>100</v>
      </c>
      <c r="B121">
        <v>1</v>
      </c>
      <c r="C121" t="s">
        <v>161</v>
      </c>
      <c r="D121" s="1">
        <f t="shared" si="5"/>
        <v>10.761570791999999</v>
      </c>
      <c r="E121">
        <v>36.72</v>
      </c>
      <c r="F121" s="3" t="s">
        <v>156</v>
      </c>
    </row>
    <row r="122" spans="1:6" x14ac:dyDescent="0.2">
      <c r="A122" s="4" t="s">
        <v>100</v>
      </c>
      <c r="B122">
        <v>1</v>
      </c>
      <c r="C122" t="s">
        <v>141</v>
      </c>
      <c r="D122" s="1">
        <f t="shared" si="5"/>
        <v>293.0711</v>
      </c>
      <c r="E122">
        <v>1000</v>
      </c>
    </row>
  </sheetData>
  <mergeCells count="1">
    <mergeCell ref="A1:I1"/>
  </mergeCells>
  <hyperlinks>
    <hyperlink ref="F3" r:id="rId1" xr:uid="{15344920-4C7C-2A49-82FF-8F04F05777D9}"/>
    <hyperlink ref="F4:F7" r:id="rId2" display="https://www.rapidtables.com/convert/energy/index.html" xr:uid="{D40D279F-6BD5-664C-B164-6E1EC96C5F10}"/>
    <hyperlink ref="F9" r:id="rId3" xr:uid="{FA9E12F6-D951-0A44-B2FF-64B73401B9F3}"/>
    <hyperlink ref="F12" r:id="rId4" xr:uid="{85065895-A030-D84E-BEE0-C795C7A8CE0C}"/>
    <hyperlink ref="F15" r:id="rId5" xr:uid="{965101CC-EB0F-6840-AA68-6C808B821EBF}"/>
    <hyperlink ref="F13" r:id="rId6" xr:uid="{55DFC3E9-71B0-4646-A66F-2EAAB4D30B50}"/>
    <hyperlink ref="F22" r:id="rId7" xr:uid="{4FF25E85-DAF2-D44B-A980-9132060089D5}"/>
    <hyperlink ref="F21" r:id="rId8" xr:uid="{0CA8F71C-A8FB-F241-9F64-0ECFF42C6A59}"/>
    <hyperlink ref="F26" r:id="rId9" xr:uid="{026AD1F0-B9F2-A449-BDC0-B55CFFAB463F}"/>
    <hyperlink ref="F19" r:id="rId10" display="https://portfoliomanager.energystar.gov/pdf/reference/Thermal Conversions.pdf" xr:uid="{5769076A-8E21-E146-9D7E-427F15BB323F}"/>
    <hyperlink ref="F11" r:id="rId11" xr:uid="{0F00DE07-ED3A-4D4A-8E34-09FAE74B23DC}"/>
    <hyperlink ref="F30" r:id="rId12" display="https://portfoliomanager.energystar.gov/pdf/reference/Thermal Conversions.pdf" xr:uid="{CD60FDB3-432C-C140-A48E-80EA58DC525C}"/>
    <hyperlink ref="F34" r:id="rId13" display="https://portfoliomanager.energystar.gov/pdf/reference/Thermal Conversions.pdf" xr:uid="{24CF1411-3D4F-3B4F-B609-68D4B289F9ED}"/>
    <hyperlink ref="F37" r:id="rId14" display="https://portfoliomanager.energystar.gov/pdf/reference/Thermal Conversions.pdf" xr:uid="{B883B916-41F3-084B-B68C-D5D6D6AB11D5}"/>
    <hyperlink ref="F41" r:id="rId15" display="https://portfoliomanager.energystar.gov/pdf/reference/Thermal Conversions.pdf" xr:uid="{0289082C-64BA-D440-AD7F-B66D7A55CAD0}"/>
    <hyperlink ref="F38" r:id="rId16" display="https://portfoliomanager.energystar.gov/pdf/reference/Thermal Conversions.pdf" xr:uid="{DFBA8606-37D0-2642-B21E-7D367BA114DC}"/>
    <hyperlink ref="F46" r:id="rId17" display="https://portfoliomanager.energystar.gov/pdf/reference/Thermal Conversions.pdf" xr:uid="{FBD3E52B-C76A-B945-A462-9985182E0494}"/>
    <hyperlink ref="F48" r:id="rId18" display="https://portfoliomanager.energystar.gov/pdf/reference/Thermal Conversions.pdf" xr:uid="{7C6A74C9-92FF-234F-91DF-F5921D251E5D}"/>
    <hyperlink ref="F61" r:id="rId19" display="https://portfoliomanager.energystar.gov/pdf/reference/Thermal Conversions.pdf" xr:uid="{943B8C87-898F-9A48-BA73-38BD0C110D7B}"/>
    <hyperlink ref="F63" r:id="rId20" xr:uid="{1965AFB0-37E9-954F-BF86-D293915FE813}"/>
    <hyperlink ref="F67" r:id="rId21" display="https://portfoliomanager.energystar.gov/pdf/reference/Thermal Conversions.pdf" xr:uid="{6F913008-573F-8A43-811B-BF2487704197}"/>
    <hyperlink ref="F70" r:id="rId22" display="https://portfoliomanager.energystar.gov/pdf/reference/Thermal Conversions.pdf" xr:uid="{23487A2B-07A4-A048-91DD-35952D3EEE13}"/>
    <hyperlink ref="F71" r:id="rId23" display="https://portfoliomanager.energystar.gov/pdf/reference/Thermal Conversions.pdf" xr:uid="{0BDB34AC-1F92-5348-B2EF-D7FDEBCEAC8B}"/>
    <hyperlink ref="F74" r:id="rId24" display="https://portfoliomanager.energystar.gov/pdf/reference/Thermal Conversions.pdf" xr:uid="{2520DAD0-2B72-4541-8A2E-1014583A8AF5}"/>
    <hyperlink ref="F79" r:id="rId25" display="https://portfoliomanager.energystar.gov/pdf/reference/Thermal Conversions.pdf" xr:uid="{18D10970-DEED-BF49-BE41-66AB9DB269D6}"/>
    <hyperlink ref="F80" r:id="rId26" display="https://portfoliomanager.energystar.gov/pdf/reference/Thermal Conversions.pdf" xr:uid="{1CDD7D05-90BB-954B-8A63-C77F7AF56D88}"/>
    <hyperlink ref="F82" r:id="rId27" display="https://portfoliomanager.energystar.gov/pdf/reference/Thermal Conversions.pdf" xr:uid="{AEAADC96-2FD7-C74C-936B-570C99307946}"/>
    <hyperlink ref="F83" r:id="rId28" display="https://portfoliomanager.energystar.gov/pdf/reference/Thermal Conversions.pdf" xr:uid="{4854FEA6-D509-044D-8ED4-F0E07A61FAAD}"/>
    <hyperlink ref="F88" r:id="rId29" display="https://portfoliomanager.energystar.gov/pdf/reference/Thermal Conversions.pdf" xr:uid="{62678EB8-71A4-2145-BA74-21BC53C2DE5C}"/>
    <hyperlink ref="F89" r:id="rId30" display="https://portfoliomanager.energystar.gov/pdf/reference/Thermal Conversions.pdf" xr:uid="{0B69AF8C-D6A5-964A-A5E0-3503AF4EB5B1}"/>
    <hyperlink ref="F91" r:id="rId31" display="https://portfoliomanager.energystar.gov/pdf/reference/Thermal Conversions.pdf" xr:uid="{0E2B1946-66D0-0146-A2EC-9FCE6EA6F2C9}"/>
    <hyperlink ref="F92" r:id="rId32" display="https://portfoliomanager.energystar.gov/pdf/reference/Thermal Conversions.pdf" xr:uid="{220009A6-8782-2648-B6C7-30A8C2DE70C5}"/>
    <hyperlink ref="F97" r:id="rId33" display="https://portfoliomanager.energystar.gov/pdf/reference/Thermal Conversions.pdf" xr:uid="{53A074DF-866A-A047-827A-21C44454E359}"/>
    <hyperlink ref="F98" r:id="rId34" display="https://portfoliomanager.energystar.gov/pdf/reference/Thermal Conversions.pdf" xr:uid="{09B09C3E-1D28-C749-8139-D0B92AF455C1}"/>
    <hyperlink ref="F100" r:id="rId35" display="https://portfoliomanager.energystar.gov/pdf/reference/Thermal Conversions.pdf" xr:uid="{BED60A2D-7F24-614B-86FF-E47DD712FD25}"/>
    <hyperlink ref="F101" r:id="rId36" display="https://portfoliomanager.energystar.gov/pdf/reference/Thermal Conversions.pdf" xr:uid="{1390D41A-16C3-A34B-B563-8EBF9E53228D}"/>
    <hyperlink ref="F102" r:id="rId37" display="https://portfoliomanager.energystar.gov/pdf/reference/Thermal Conversions.pdf" xr:uid="{A0FB828B-BCB6-174D-93E5-7F9BE751444B}"/>
    <hyperlink ref="F107" r:id="rId38" display="https://portfoliomanager.energystar.gov/pdf/reference/Thermal Conversions.pdf" xr:uid="{0053EB3A-3FEB-CC40-B71A-6766B489445D}"/>
    <hyperlink ref="F110" r:id="rId39" display="https://portfoliomanager.energystar.gov/pdf/reference/Thermal Conversions.pdf" xr:uid="{4BC71182-03B7-4F41-872A-0C6FE925DCE1}"/>
    <hyperlink ref="F114" r:id="rId40" display="https://portfoliomanager.energystar.gov/pdf/reference/Thermal Conversions.pdf" xr:uid="{89EEFB8B-4AD5-5D40-9367-2FC0FC950832}"/>
    <hyperlink ref="F117" r:id="rId41" display="https://portfoliomanager.energystar.gov/pdf/reference/Thermal Conversions.pdf" xr:uid="{74AB3B2B-F75D-FD4B-A7C4-56736E49927A}"/>
    <hyperlink ref="F121" r:id="rId42" display="https://portfoliomanager.energystar.gov/pdf/reference/Thermal Conversions.pdf" xr:uid="{02D02DEF-59CD-2A45-AA9A-FC575F7FA0E5}"/>
    <hyperlink ref="F64" r:id="rId43" display="https://www.epa.gov/sites/production/files/2018-03/documents/emission-factors_mar_2018_0.pdf" xr:uid="{8B1A4026-B9C4-264C-B0BC-D07DCFD239C4}"/>
    <hyperlink ref="F118" r:id="rId44" display="https://www.epa.gov/sites/production/files/2018-03/documents/emission-factors_mar_2018_0.pdf" xr:uid="{EC5AAC91-E16B-6343-8480-D5BFF2A6A597}"/>
    <hyperlink ref="F31" r:id="rId45" display="https://www.epa.gov/sites/production/files/2018-03/documents/emission-factors_mar_2018_0.pdf" xr:uid="{C4B32A7D-35C4-C642-AA85-5523E1EBBA6F}"/>
    <hyperlink ref="F93" r:id="rId46" display="https://www.epa.gov/sites/production/files/2018-03/documents/emission-factors_mar_2018_0.pdf" xr:uid="{AD7F44B4-D33A-C140-A211-B88BD9DBDA0E}"/>
    <hyperlink ref="F84" r:id="rId47" display="https://www.epa.gov/sites/production/files/2018-03/documents/emission-factors_mar_2018_0.pdf" xr:uid="{EBE6CE3C-8D99-DB48-BC59-FE9776AB0DB0}"/>
    <hyperlink ref="F108" r:id="rId48" display="https://www.epa.gov/sites/production/files/2018-03/documents/emission-factors_mar_2018_0.pdf" xr:uid="{8AF759BF-5F01-374E-9E9E-14429770A626}"/>
    <hyperlink ref="F111" r:id="rId49" display="https://www.epa.gov/sites/production/files/2018-03/documents/emission-factors_mar_2018_0.pdf" xr:uid="{F5697996-A5EE-6143-975D-0ECC8CD039FC}"/>
  </hyperlinks>
  <pageMargins left="0.7" right="0.7" top="0.75" bottom="0.75" header="0.3" footer="0.3"/>
  <pageSetup orientation="portrait" r:id="rId5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Introduction</vt:lpstr>
      <vt:lpstr>1. Electricity</vt:lpstr>
      <vt:lpstr>2. Electricity Source</vt:lpstr>
      <vt:lpstr>3. Fossil</vt:lpstr>
      <vt:lpstr>4. Fossil Source</vt:lpstr>
      <vt:lpstr>Fuel Conversion Factors</vt:lpstr>
      <vt:lpstr>Introduction!_ftn4</vt:lpstr>
      <vt:lpstr>Introduction!_ftnref1</vt:lpstr>
      <vt:lpstr>Introduction!_ftnref2</vt:lpstr>
      <vt:lpstr>Introduction!_ftnref3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 Liu</dc:creator>
  <cp:lastModifiedBy>Microsoft Office User</cp:lastModifiedBy>
  <dcterms:created xsi:type="dcterms:W3CDTF">2020-03-27T16:33:59Z</dcterms:created>
  <dcterms:modified xsi:type="dcterms:W3CDTF">2021-01-23T01:24:36Z</dcterms:modified>
</cp:coreProperties>
</file>